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320" windowHeight="9876" activeTab="0"/>
  </bookViews>
  <sheets>
    <sheet name="入围" sheetId="1" r:id="rId1"/>
  </sheets>
  <definedNames/>
  <calcPr fullCalcOnLoad="1"/>
</workbook>
</file>

<file path=xl/sharedStrings.xml><?xml version="1.0" encoding="utf-8"?>
<sst xmlns="http://schemas.openxmlformats.org/spreadsheetml/2006/main" count="790" uniqueCount="261">
  <si>
    <t>职位代码</t>
  </si>
  <si>
    <t>报考号</t>
  </si>
  <si>
    <t>用户姓名</t>
  </si>
  <si>
    <t>性别</t>
  </si>
  <si>
    <t>身份证号码</t>
  </si>
  <si>
    <t>学历</t>
  </si>
  <si>
    <t>毕业院校</t>
  </si>
  <si>
    <t>所学专业（研究方向）</t>
  </si>
  <si>
    <t>201603-机械专业教师</t>
  </si>
  <si>
    <t>孙禹禹</t>
  </si>
  <si>
    <t>男</t>
  </si>
  <si>
    <t>本科</t>
  </si>
  <si>
    <t>蚌埠学院</t>
  </si>
  <si>
    <t>机械设计制造及其自动化</t>
  </si>
  <si>
    <t>201618-幼儿教师</t>
  </si>
  <si>
    <t>女</t>
  </si>
  <si>
    <t>大专</t>
  </si>
  <si>
    <t>学前教育</t>
  </si>
  <si>
    <t>亳州幼儿师范学校</t>
  </si>
  <si>
    <t>陆晨</t>
  </si>
  <si>
    <t>亳州师范高等专科学校</t>
  </si>
  <si>
    <t>李媛媛</t>
  </si>
  <si>
    <t>合肥师范学院</t>
  </si>
  <si>
    <t>马鞍山师范高等专科学校</t>
  </si>
  <si>
    <t>中专</t>
  </si>
  <si>
    <t>阜阳职业技术学院</t>
  </si>
  <si>
    <t>杨心茹</t>
  </si>
  <si>
    <t>桐城师范高等专科学校</t>
  </si>
  <si>
    <t>阜阳师范学校</t>
  </si>
  <si>
    <t>幼儿教育</t>
  </si>
  <si>
    <t>亳州幼儿师范学院</t>
  </si>
  <si>
    <t>亳州学院</t>
  </si>
  <si>
    <t>学前教育专业</t>
  </si>
  <si>
    <t>合肥学院</t>
  </si>
  <si>
    <t>合肥幼儿师范高等专科学校</t>
  </si>
  <si>
    <t>淮北师范大学</t>
  </si>
  <si>
    <t>张丽</t>
  </si>
  <si>
    <t>王梦莹</t>
  </si>
  <si>
    <t>安徽省阜阳市职业技术学院</t>
  </si>
  <si>
    <t>阜阳师范学院</t>
  </si>
  <si>
    <t>201605-服装专业教师</t>
  </si>
  <si>
    <t>服装设计与工程</t>
  </si>
  <si>
    <t>尹燕</t>
  </si>
  <si>
    <t>201607-新能源专业教师</t>
  </si>
  <si>
    <t>研究生</t>
  </si>
  <si>
    <t>李珊珊</t>
  </si>
  <si>
    <t>周口幼儿师范学校</t>
  </si>
  <si>
    <t>201608-室内装饰设计专业教师</t>
  </si>
  <si>
    <t>艺术设计</t>
  </si>
  <si>
    <t>战亚明</t>
  </si>
  <si>
    <t>四川师范大学</t>
  </si>
  <si>
    <t>201615-广播摄影专业教师</t>
  </si>
  <si>
    <t>孟令会</t>
  </si>
  <si>
    <t>王娜娜</t>
  </si>
  <si>
    <t>合肥幼儿师范学院</t>
  </si>
  <si>
    <t>安徽师范大学</t>
  </si>
  <si>
    <t>王秀娟</t>
  </si>
  <si>
    <t>201601-社会工作专业教师</t>
  </si>
  <si>
    <t>初等教育</t>
  </si>
  <si>
    <t>宋子怡</t>
  </si>
  <si>
    <t>201612-电子商务专业教师</t>
  </si>
  <si>
    <t>班素娟</t>
  </si>
  <si>
    <t>淮北师范大学信息学院</t>
  </si>
  <si>
    <t>电子商务</t>
  </si>
  <si>
    <t>陆影</t>
  </si>
  <si>
    <t>安徽科技学院</t>
  </si>
  <si>
    <t>机电技术教育</t>
  </si>
  <si>
    <t>安庆师范学院</t>
  </si>
  <si>
    <t>巢湖学院</t>
  </si>
  <si>
    <t>201602-文秘专业教师</t>
  </si>
  <si>
    <t>汉语言文学</t>
  </si>
  <si>
    <t>周霞</t>
  </si>
  <si>
    <t>201611-电工电子专业教师</t>
  </si>
  <si>
    <t>电子信息工程</t>
  </si>
  <si>
    <t>201606-旅游专业教师</t>
  </si>
  <si>
    <t>纪敬涛</t>
  </si>
  <si>
    <t>上海外国语大学贤达经济人文学院</t>
  </si>
  <si>
    <t>旅游管理</t>
  </si>
  <si>
    <t>刘丽萍</t>
  </si>
  <si>
    <t>数学教育</t>
  </si>
  <si>
    <t>201604-财会专业教师</t>
  </si>
  <si>
    <t>张卫军</t>
  </si>
  <si>
    <t>淮南师范学院</t>
  </si>
  <si>
    <t>会计学</t>
  </si>
  <si>
    <t>张顺</t>
  </si>
  <si>
    <t>安徽农业大学</t>
  </si>
  <si>
    <t>农业机械化及其自动化</t>
  </si>
  <si>
    <t>黄静静</t>
  </si>
  <si>
    <t>财务管理</t>
  </si>
  <si>
    <t>高丹丹</t>
  </si>
  <si>
    <t>单珂珂</t>
  </si>
  <si>
    <t>武晓丽</t>
  </si>
  <si>
    <t>刘心婷</t>
  </si>
  <si>
    <t>社会工作</t>
  </si>
  <si>
    <t>田佳丽</t>
  </si>
  <si>
    <t>龙小丽</t>
  </si>
  <si>
    <t>亳州幼儿师范</t>
  </si>
  <si>
    <t>陈曼娜</t>
  </si>
  <si>
    <t>昝娟</t>
  </si>
  <si>
    <t>刘海玲</t>
  </si>
  <si>
    <t>阜阳师范幼儿高等专科学校</t>
  </si>
  <si>
    <t>201614-图书管理专业教师</t>
  </si>
  <si>
    <t>阜阳师范学院信息工程学院</t>
  </si>
  <si>
    <t>信息管理与信息系统</t>
  </si>
  <si>
    <t>王小娜</t>
  </si>
  <si>
    <t>王静雯</t>
  </si>
  <si>
    <t>李育文</t>
  </si>
  <si>
    <t>程荣华</t>
  </si>
  <si>
    <t>王中亚</t>
  </si>
  <si>
    <t>安徽工程大学机电学院</t>
  </si>
  <si>
    <t>201617-护理专业教师</t>
  </si>
  <si>
    <t>护理</t>
  </si>
  <si>
    <t>马晓静</t>
  </si>
  <si>
    <t>李小梦</t>
  </si>
  <si>
    <t>合肥师范</t>
  </si>
  <si>
    <t>刘艳艳</t>
  </si>
  <si>
    <t>湖南人文科技学院</t>
  </si>
  <si>
    <t>李鑫宇</t>
  </si>
  <si>
    <t>201609-汽车维修</t>
  </si>
  <si>
    <t>尹庆</t>
  </si>
  <si>
    <t>安阳工学院</t>
  </si>
  <si>
    <t>汽车服务工程专业</t>
  </si>
  <si>
    <t>陈燕</t>
  </si>
  <si>
    <t>王心怡</t>
  </si>
  <si>
    <t>刘婷婷</t>
  </si>
  <si>
    <t>王德海</t>
  </si>
  <si>
    <t>中央广播电视大学</t>
  </si>
  <si>
    <t>王婕</t>
  </si>
  <si>
    <t>江门幼儿师范学校</t>
  </si>
  <si>
    <t>李青青</t>
  </si>
  <si>
    <t>杨倩</t>
  </si>
  <si>
    <t>初等教育（英语方向））</t>
  </si>
  <si>
    <t>卢思琦</t>
  </si>
  <si>
    <t>全雪晴</t>
  </si>
  <si>
    <t>王纯</t>
  </si>
  <si>
    <t>刘磊</t>
  </si>
  <si>
    <t>广西师范大学</t>
  </si>
  <si>
    <t>电子科学与技术（电路与系统）</t>
  </si>
  <si>
    <t>郭晓梅</t>
  </si>
  <si>
    <t>周慧雯</t>
  </si>
  <si>
    <t>王亚琦</t>
  </si>
  <si>
    <t>英语教育</t>
  </si>
  <si>
    <t>李保坤</t>
  </si>
  <si>
    <t>dndxcxxy</t>
  </si>
  <si>
    <t>李珂</t>
  </si>
  <si>
    <t>闫红秋</t>
  </si>
  <si>
    <t>安徽亳州幼儿师范学校</t>
  </si>
  <si>
    <t>纪梦丽</t>
  </si>
  <si>
    <t>张笑梅</t>
  </si>
  <si>
    <t>201613-广告设计与制作专业教师</t>
  </si>
  <si>
    <t>张曦冉</t>
  </si>
  <si>
    <t>音乐学</t>
  </si>
  <si>
    <t>学前教育（师范类）</t>
  </si>
  <si>
    <t>郑立燕</t>
  </si>
  <si>
    <t>李玲</t>
  </si>
  <si>
    <t>李雪梅</t>
  </si>
  <si>
    <t>王淑丽</t>
  </si>
  <si>
    <t>任亚喃</t>
  </si>
  <si>
    <t>张萌萌</t>
  </si>
  <si>
    <t>安徽新闻出版职业技术学院</t>
  </si>
  <si>
    <t>包装技术与设计</t>
  </si>
  <si>
    <t>丁庆云</t>
  </si>
  <si>
    <t>音乐教育</t>
  </si>
  <si>
    <t>孙迎雪</t>
  </si>
  <si>
    <t>孙慧</t>
  </si>
  <si>
    <t>解东</t>
  </si>
  <si>
    <t>铜陵学院</t>
  </si>
  <si>
    <t>自动化</t>
  </si>
  <si>
    <t>徐阿庆</t>
  </si>
  <si>
    <t>安徽医学高等专科学校</t>
  </si>
  <si>
    <t>王丽娜</t>
  </si>
  <si>
    <t>小学教育（中文与社会方向）</t>
  </si>
  <si>
    <t>武雪平</t>
  </si>
  <si>
    <t xml:space="preserve">合肥师范学院                                </t>
  </si>
  <si>
    <t>郑春</t>
  </si>
  <si>
    <t>南昌师范高等专科学校</t>
  </si>
  <si>
    <t>马梦茹</t>
  </si>
  <si>
    <t>王丽</t>
  </si>
  <si>
    <t>谷莹莹</t>
  </si>
  <si>
    <t>孟尘羽</t>
  </si>
  <si>
    <t>学前教育（英语方向）</t>
  </si>
  <si>
    <t>程孝菊</t>
  </si>
  <si>
    <t>张宁</t>
  </si>
  <si>
    <t>武扬</t>
  </si>
  <si>
    <t>江西服装学院</t>
  </si>
  <si>
    <t>柳婷</t>
  </si>
  <si>
    <t>李雪静</t>
  </si>
  <si>
    <t>许昌学院</t>
  </si>
  <si>
    <t>李盼盼</t>
  </si>
  <si>
    <t>王楠</t>
  </si>
  <si>
    <t>缙云县教师进修学校</t>
  </si>
  <si>
    <t>幼儿园学前教育</t>
  </si>
  <si>
    <t>郭涵</t>
  </si>
  <si>
    <t>刘春旭</t>
  </si>
  <si>
    <t>合肥师范学院（安徽省教育学院）</t>
  </si>
  <si>
    <t>方蒙娜</t>
  </si>
  <si>
    <t>大连科技学院</t>
  </si>
  <si>
    <t>安徽新华学院</t>
  </si>
  <si>
    <t>侯孟娜</t>
  </si>
  <si>
    <t xml:space="preserve">  淮北师范大学</t>
  </si>
  <si>
    <t>方理想</t>
  </si>
  <si>
    <t>宋丹丹</t>
  </si>
  <si>
    <t>王同情</t>
  </si>
  <si>
    <t>中国矿业大学</t>
  </si>
  <si>
    <t>房慧</t>
  </si>
  <si>
    <t>肖楠楠</t>
  </si>
  <si>
    <t>冯英杰</t>
  </si>
  <si>
    <t>吴昊</t>
  </si>
  <si>
    <t>梧州学院</t>
  </si>
  <si>
    <t xml:space="preserve">动画 </t>
  </si>
  <si>
    <t>杨婷</t>
  </si>
  <si>
    <t>任梦雅</t>
  </si>
  <si>
    <t>初等教育 英语方向</t>
  </si>
  <si>
    <t>舒婷婷</t>
  </si>
  <si>
    <t>武汉冶金管理干部学院</t>
  </si>
  <si>
    <t>程丽娟</t>
  </si>
  <si>
    <t>郑小江</t>
  </si>
  <si>
    <t>关丽丽</t>
  </si>
  <si>
    <t>杨思雨</t>
  </si>
  <si>
    <t>周小平</t>
  </si>
  <si>
    <t>电子商务及法律实务</t>
  </si>
  <si>
    <t>解巧云</t>
  </si>
  <si>
    <t>邵芳</t>
  </si>
  <si>
    <t>韦润泉</t>
  </si>
  <si>
    <t>丁婉玉</t>
  </si>
  <si>
    <t>李芬梓</t>
  </si>
  <si>
    <t>张奇奇</t>
  </si>
  <si>
    <t>杜文强</t>
  </si>
  <si>
    <t>郭晓丽</t>
  </si>
  <si>
    <t>赵欣悦</t>
  </si>
  <si>
    <t>周晴晴</t>
  </si>
  <si>
    <t>程雨丝</t>
  </si>
  <si>
    <t>杨程娣</t>
  </si>
  <si>
    <t>任雪英</t>
  </si>
  <si>
    <t>木素芝</t>
  </si>
  <si>
    <t>解凯茹</t>
  </si>
  <si>
    <t>韩珍珍</t>
  </si>
  <si>
    <t>北京城市学院</t>
  </si>
  <si>
    <t>任秋芬</t>
  </si>
  <si>
    <t>安徽大学</t>
  </si>
  <si>
    <t>汉语言</t>
  </si>
  <si>
    <t>王振东</t>
  </si>
  <si>
    <t>西北民族大学</t>
  </si>
  <si>
    <t>数字媒体艺术</t>
  </si>
  <si>
    <t>刘灿灿</t>
  </si>
  <si>
    <t>史雪峰</t>
  </si>
  <si>
    <t>艺术设计（环境艺术设计）</t>
  </si>
  <si>
    <t>陈青</t>
  </si>
  <si>
    <t>艺术设计（广告与动画方向）</t>
  </si>
  <si>
    <t>邓亚平</t>
  </si>
  <si>
    <t>李秀敏</t>
  </si>
  <si>
    <t>韩雪</t>
  </si>
  <si>
    <t>王峰</t>
  </si>
  <si>
    <t>准考证号</t>
  </si>
  <si>
    <t>教育综合知识
（120）</t>
  </si>
  <si>
    <t>幼儿教育岗位
（120）</t>
  </si>
  <si>
    <t>加分</t>
  </si>
  <si>
    <t>总分
（120）</t>
  </si>
  <si>
    <t>入围</t>
  </si>
  <si>
    <t>利辛县2016年公开招聘幼儿教师和中职专业教师                          入围人员名单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</si>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</sst>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S4" sqref="S4"/>
    </sheetView>
  </sheetViews>
  <sheetFormatPr defaultColWidth="9.00390625" defaultRowHeight="13.5"/>
  <cols>
    <col min="1" max="1" width="5.625" style="0" customWidth="1"/>
    <col min="2" max="2" width="22.75390625" style="0" customWidth="1"/>
    <col min="3" max="3" width="23.625" style="0" hidden="1" customWidth="1"/>
    <col min="4" max="4" width="7.625" style="0" customWidth="1"/>
    <col min="5" max="5" width="5.375" style="0" hidden="1" customWidth="1"/>
    <col min="6" max="6" width="20.375" style="0" hidden="1" customWidth="1"/>
    <col min="7" max="7" width="8.50390625" style="0" hidden="1" customWidth="1"/>
    <col min="8" max="8" width="24.375" style="0" hidden="1" customWidth="1"/>
    <col min="9" max="9" width="24.50390625" style="0" hidden="1" customWidth="1"/>
    <col min="10" max="10" width="11.875" style="0" customWidth="1"/>
    <col min="15" max="15" width="9.00390625" style="5" customWidth="1"/>
  </cols>
  <sheetData>
    <row r="1" spans="1:15" ht="72" customHeight="1">
      <c r="A1" s="12" t="s">
        <v>259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ht="42.75">
      <c r="A3" s="7" t="s">
        <v>260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253</v>
      </c>
      <c r="K3" s="2" t="s">
        <v>254</v>
      </c>
      <c r="L3" s="2" t="s">
        <v>255</v>
      </c>
      <c r="M3" s="2" t="s">
        <v>256</v>
      </c>
      <c r="N3" s="2" t="s">
        <v>257</v>
      </c>
      <c r="O3" s="9" t="s">
        <v>258</v>
      </c>
    </row>
    <row r="4" spans="1:15" ht="16.5" customHeight="1">
      <c r="A4" s="7">
        <v>1</v>
      </c>
      <c r="B4" s="6" t="s">
        <v>57</v>
      </c>
      <c r="C4" s="6" t="str">
        <f>"1011201607241535305707"</f>
        <v>1011201607241535305707</v>
      </c>
      <c r="D4" s="6" t="s">
        <v>195</v>
      </c>
      <c r="E4" s="6" t="s">
        <v>15</v>
      </c>
      <c r="F4" s="6" t="str">
        <f>"341224199201118227"</f>
        <v>341224199201118227</v>
      </c>
      <c r="G4" s="6" t="s">
        <v>11</v>
      </c>
      <c r="H4" s="6" t="s">
        <v>196</v>
      </c>
      <c r="I4" s="6" t="s">
        <v>93</v>
      </c>
      <c r="J4" s="6">
        <v>2016015301</v>
      </c>
      <c r="K4" s="3">
        <v>74.3</v>
      </c>
      <c r="L4" s="4">
        <v>82.6</v>
      </c>
      <c r="M4" s="4"/>
      <c r="N4" s="3">
        <f aca="true" t="shared" si="0" ref="N4:N25">K4*0.4+L4*0.6</f>
        <v>79.28</v>
      </c>
      <c r="O4" s="8">
        <v>1</v>
      </c>
    </row>
    <row r="5" spans="1:15" ht="16.5" customHeight="1">
      <c r="A5" s="7">
        <v>2</v>
      </c>
      <c r="B5" s="6" t="s">
        <v>69</v>
      </c>
      <c r="C5" s="6" t="str">
        <f>"1011201607261654436387"</f>
        <v>1011201607261654436387</v>
      </c>
      <c r="D5" s="6" t="s">
        <v>238</v>
      </c>
      <c r="E5" s="6" t="s">
        <v>15</v>
      </c>
      <c r="F5" s="6" t="str">
        <f>"340602198810152242"</f>
        <v>340602198810152242</v>
      </c>
      <c r="G5" s="6" t="s">
        <v>44</v>
      </c>
      <c r="H5" s="6" t="s">
        <v>239</v>
      </c>
      <c r="I5" s="6" t="s">
        <v>240</v>
      </c>
      <c r="J5" s="6">
        <v>2016025116</v>
      </c>
      <c r="K5" s="4">
        <v>77.2</v>
      </c>
      <c r="L5" s="3">
        <v>85.4</v>
      </c>
      <c r="M5" s="3"/>
      <c r="N5" s="3">
        <f t="shared" si="0"/>
        <v>82.12</v>
      </c>
      <c r="O5" s="9">
        <v>1</v>
      </c>
    </row>
    <row r="6" spans="1:15" ht="16.5" customHeight="1">
      <c r="A6" s="7">
        <v>3</v>
      </c>
      <c r="B6" s="6" t="s">
        <v>69</v>
      </c>
      <c r="C6" s="6" t="str">
        <f>"1011201607241704145746"</f>
        <v>1011201607241704145746</v>
      </c>
      <c r="D6" s="6" t="s">
        <v>202</v>
      </c>
      <c r="E6" s="6" t="s">
        <v>15</v>
      </c>
      <c r="F6" s="6" t="str">
        <f>"340823198802120446"</f>
        <v>340823198802120446</v>
      </c>
      <c r="G6" s="6" t="s">
        <v>11</v>
      </c>
      <c r="H6" s="6" t="s">
        <v>203</v>
      </c>
      <c r="I6" s="6" t="s">
        <v>70</v>
      </c>
      <c r="J6" s="6">
        <v>2016025115</v>
      </c>
      <c r="K6" s="4">
        <v>73.6</v>
      </c>
      <c r="L6" s="3">
        <v>84.4</v>
      </c>
      <c r="M6" s="3"/>
      <c r="N6" s="3">
        <f t="shared" si="0"/>
        <v>80.08</v>
      </c>
      <c r="O6" s="9">
        <v>2</v>
      </c>
    </row>
    <row r="7" spans="1:15" ht="16.5" customHeight="1">
      <c r="A7" s="7">
        <v>4</v>
      </c>
      <c r="B7" s="6" t="s">
        <v>8</v>
      </c>
      <c r="C7" s="6" t="str">
        <f>"1011201607230929164726"</f>
        <v>1011201607230929164726</v>
      </c>
      <c r="D7" s="6" t="s">
        <v>84</v>
      </c>
      <c r="E7" s="6" t="s">
        <v>10</v>
      </c>
      <c r="F7" s="6" t="str">
        <f>"341623199105145618"</f>
        <v>341623199105145618</v>
      </c>
      <c r="G7" s="6" t="s">
        <v>11</v>
      </c>
      <c r="H7" s="6" t="s">
        <v>85</v>
      </c>
      <c r="I7" s="6" t="s">
        <v>86</v>
      </c>
      <c r="J7" s="6">
        <v>2016035324</v>
      </c>
      <c r="K7" s="4">
        <v>66.9</v>
      </c>
      <c r="L7" s="4">
        <v>98</v>
      </c>
      <c r="M7" s="4"/>
      <c r="N7" s="3">
        <f t="shared" si="0"/>
        <v>85.56</v>
      </c>
      <c r="O7" s="9">
        <v>1</v>
      </c>
    </row>
    <row r="8" spans="1:15" ht="16.5" customHeight="1">
      <c r="A8" s="7">
        <v>5</v>
      </c>
      <c r="B8" s="6" t="s">
        <v>8</v>
      </c>
      <c r="C8" s="6" t="str">
        <f>"1011201607241551325718"</f>
        <v>1011201607241551325718</v>
      </c>
      <c r="D8" s="6" t="s">
        <v>200</v>
      </c>
      <c r="E8" s="6" t="s">
        <v>10</v>
      </c>
      <c r="F8" s="6" t="str">
        <f>"341224198302098531"</f>
        <v>341224198302098531</v>
      </c>
      <c r="G8" s="6" t="s">
        <v>11</v>
      </c>
      <c r="H8" s="6" t="s">
        <v>65</v>
      </c>
      <c r="I8" s="6" t="s">
        <v>66</v>
      </c>
      <c r="J8" s="6">
        <v>2016035308</v>
      </c>
      <c r="K8" s="4">
        <v>72.4</v>
      </c>
      <c r="L8" s="4">
        <v>94</v>
      </c>
      <c r="M8" s="4"/>
      <c r="N8" s="3">
        <f t="shared" si="0"/>
        <v>85.36</v>
      </c>
      <c r="O8" s="9">
        <v>2</v>
      </c>
    </row>
    <row r="9" spans="1:15" ht="16.5" customHeight="1">
      <c r="A9" s="7">
        <v>6</v>
      </c>
      <c r="B9" s="6" t="s">
        <v>8</v>
      </c>
      <c r="C9" s="6" t="str">
        <f>"1011201607230803094475"</f>
        <v>1011201607230803094475</v>
      </c>
      <c r="D9" s="6" t="s">
        <v>9</v>
      </c>
      <c r="E9" s="6" t="s">
        <v>10</v>
      </c>
      <c r="F9" s="6" t="str">
        <f>"341227199302100033"</f>
        <v>341227199302100033</v>
      </c>
      <c r="G9" s="6" t="s">
        <v>11</v>
      </c>
      <c r="H9" s="6" t="s">
        <v>12</v>
      </c>
      <c r="I9" s="6" t="s">
        <v>13</v>
      </c>
      <c r="J9" s="6">
        <v>2016035309</v>
      </c>
      <c r="K9" s="4">
        <v>68</v>
      </c>
      <c r="L9" s="4">
        <v>96.8</v>
      </c>
      <c r="M9" s="4"/>
      <c r="N9" s="3">
        <f t="shared" si="0"/>
        <v>85.28</v>
      </c>
      <c r="O9" s="9">
        <v>3</v>
      </c>
    </row>
    <row r="10" spans="1:15" ht="16.5" customHeight="1">
      <c r="A10" s="7">
        <v>7</v>
      </c>
      <c r="B10" s="6" t="s">
        <v>8</v>
      </c>
      <c r="C10" s="6" t="str">
        <f>"1011201607231459145165"</f>
        <v>1011201607231459145165</v>
      </c>
      <c r="D10" s="6" t="s">
        <v>142</v>
      </c>
      <c r="E10" s="6" t="s">
        <v>10</v>
      </c>
      <c r="F10" s="6" t="str">
        <f>"34162319931124481X"</f>
        <v>34162319931124481X</v>
      </c>
      <c r="G10" s="6" t="s">
        <v>11</v>
      </c>
      <c r="H10" s="6" t="s">
        <v>143</v>
      </c>
      <c r="I10" s="6" t="s">
        <v>13</v>
      </c>
      <c r="J10" s="6">
        <v>2016035326</v>
      </c>
      <c r="K10" s="4">
        <v>74.8</v>
      </c>
      <c r="L10" s="4">
        <v>90.4</v>
      </c>
      <c r="M10" s="4"/>
      <c r="N10" s="3">
        <f t="shared" si="0"/>
        <v>84.16</v>
      </c>
      <c r="O10" s="9">
        <v>4</v>
      </c>
    </row>
    <row r="11" spans="1:15" ht="16.5" customHeight="1">
      <c r="A11" s="7">
        <v>8</v>
      </c>
      <c r="B11" s="6" t="s">
        <v>8</v>
      </c>
      <c r="C11" s="6" t="str">
        <f>"1011201607230842374601"</f>
        <v>1011201607230842374601</v>
      </c>
      <c r="D11" s="6" t="s">
        <v>64</v>
      </c>
      <c r="E11" s="6" t="s">
        <v>15</v>
      </c>
      <c r="F11" s="6" t="str">
        <f>"341227198902109520"</f>
        <v>341227198902109520</v>
      </c>
      <c r="G11" s="6" t="s">
        <v>11</v>
      </c>
      <c r="H11" s="6" t="s">
        <v>65</v>
      </c>
      <c r="I11" s="6" t="s">
        <v>66</v>
      </c>
      <c r="J11" s="6">
        <v>2016035317</v>
      </c>
      <c r="K11" s="4">
        <v>77.2</v>
      </c>
      <c r="L11" s="4">
        <v>88.6</v>
      </c>
      <c r="M11" s="4"/>
      <c r="N11" s="3">
        <f t="shared" si="0"/>
        <v>84.03999999999999</v>
      </c>
      <c r="O11" s="9">
        <v>5</v>
      </c>
    </row>
    <row r="12" spans="1:15" ht="16.5" customHeight="1">
      <c r="A12" s="7">
        <v>9</v>
      </c>
      <c r="B12" s="6" t="s">
        <v>80</v>
      </c>
      <c r="C12" s="6" t="str">
        <f>"1011201607230924084711"</f>
        <v>1011201607230924084711</v>
      </c>
      <c r="D12" s="6" t="s">
        <v>87</v>
      </c>
      <c r="E12" s="6" t="s">
        <v>15</v>
      </c>
      <c r="F12" s="6" t="str">
        <f>"341227199008010045"</f>
        <v>341227199008010045</v>
      </c>
      <c r="G12" s="6" t="s">
        <v>11</v>
      </c>
      <c r="H12" s="6" t="s">
        <v>39</v>
      </c>
      <c r="I12" s="6" t="s">
        <v>88</v>
      </c>
      <c r="J12" s="6">
        <v>2016045205</v>
      </c>
      <c r="K12" s="4">
        <v>65.9</v>
      </c>
      <c r="L12" s="4">
        <v>98.2</v>
      </c>
      <c r="M12" s="4"/>
      <c r="N12" s="3">
        <f t="shared" si="0"/>
        <v>85.28</v>
      </c>
      <c r="O12" s="9">
        <v>1</v>
      </c>
    </row>
    <row r="13" spans="1:15" ht="16.5" customHeight="1">
      <c r="A13" s="7">
        <v>10</v>
      </c>
      <c r="B13" s="6" t="s">
        <v>80</v>
      </c>
      <c r="C13" s="6" t="str">
        <f>"1011201607250710405885"</f>
        <v>1011201607250710405885</v>
      </c>
      <c r="D13" s="6" t="s">
        <v>227</v>
      </c>
      <c r="E13" s="6" t="s">
        <v>10</v>
      </c>
      <c r="F13" s="6" t="str">
        <f>"341227199212182637"</f>
        <v>341227199212182637</v>
      </c>
      <c r="G13" s="6" t="s">
        <v>11</v>
      </c>
      <c r="H13" s="6" t="s">
        <v>39</v>
      </c>
      <c r="I13" s="6" t="s">
        <v>88</v>
      </c>
      <c r="J13" s="6">
        <v>2016045209</v>
      </c>
      <c r="K13" s="4">
        <v>72.8</v>
      </c>
      <c r="L13" s="4">
        <v>91.2</v>
      </c>
      <c r="M13" s="4"/>
      <c r="N13" s="3">
        <f t="shared" si="0"/>
        <v>83.84</v>
      </c>
      <c r="O13" s="9">
        <v>2</v>
      </c>
    </row>
    <row r="14" spans="1:15" ht="16.5" customHeight="1">
      <c r="A14" s="7">
        <v>11</v>
      </c>
      <c r="B14" s="6" t="s">
        <v>80</v>
      </c>
      <c r="C14" s="6" t="str">
        <f>"1011201607230930394731"</f>
        <v>1011201607230930394731</v>
      </c>
      <c r="D14" s="6" t="s">
        <v>81</v>
      </c>
      <c r="E14" s="6" t="s">
        <v>10</v>
      </c>
      <c r="F14" s="6" t="str">
        <f>"341203198810251510"</f>
        <v>341203198810251510</v>
      </c>
      <c r="G14" s="6" t="s">
        <v>11</v>
      </c>
      <c r="H14" s="6" t="s">
        <v>82</v>
      </c>
      <c r="I14" s="6" t="s">
        <v>83</v>
      </c>
      <c r="J14" s="6">
        <v>2016045211</v>
      </c>
      <c r="K14" s="4">
        <v>63.9</v>
      </c>
      <c r="L14" s="4">
        <v>94.4</v>
      </c>
      <c r="M14" s="4"/>
      <c r="N14" s="3">
        <f t="shared" si="0"/>
        <v>82.2</v>
      </c>
      <c r="O14" s="9">
        <v>3</v>
      </c>
    </row>
    <row r="15" spans="1:15" ht="16.5" customHeight="1">
      <c r="A15" s="7">
        <v>12</v>
      </c>
      <c r="B15" s="6" t="s">
        <v>40</v>
      </c>
      <c r="C15" s="6" t="str">
        <f>"1011201607242224585862"</f>
        <v>1011201607242224585862</v>
      </c>
      <c r="D15" s="6" t="s">
        <v>215</v>
      </c>
      <c r="E15" s="6" t="s">
        <v>15</v>
      </c>
      <c r="F15" s="6" t="str">
        <f>"341281198901010260"</f>
        <v>341281198901010260</v>
      </c>
      <c r="G15" s="6" t="s">
        <v>11</v>
      </c>
      <c r="H15" s="6" t="s">
        <v>109</v>
      </c>
      <c r="I15" s="6" t="s">
        <v>41</v>
      </c>
      <c r="J15" s="6">
        <v>2016055122</v>
      </c>
      <c r="K15" s="3">
        <v>80.7</v>
      </c>
      <c r="L15" s="3">
        <v>74</v>
      </c>
      <c r="M15" s="3"/>
      <c r="N15" s="3">
        <f t="shared" si="0"/>
        <v>76.68</v>
      </c>
      <c r="O15" s="9">
        <v>1</v>
      </c>
    </row>
    <row r="16" spans="1:15" ht="16.5" customHeight="1">
      <c r="A16" s="7">
        <v>13</v>
      </c>
      <c r="B16" s="6" t="s">
        <v>40</v>
      </c>
      <c r="C16" s="6" t="str">
        <f>"1011201607231053244895"</f>
        <v>1011201607231053244895</v>
      </c>
      <c r="D16" s="6" t="s">
        <v>108</v>
      </c>
      <c r="E16" s="6" t="s">
        <v>10</v>
      </c>
      <c r="F16" s="6" t="str">
        <f>"341227198805040015"</f>
        <v>341227198805040015</v>
      </c>
      <c r="G16" s="6" t="s">
        <v>11</v>
      </c>
      <c r="H16" s="6" t="s">
        <v>109</v>
      </c>
      <c r="I16" s="6" t="s">
        <v>41</v>
      </c>
      <c r="J16" s="6">
        <v>2016055123</v>
      </c>
      <c r="K16" s="3">
        <v>63.6</v>
      </c>
      <c r="L16" s="3">
        <v>82.6</v>
      </c>
      <c r="M16" s="3"/>
      <c r="N16" s="3">
        <f t="shared" si="0"/>
        <v>75</v>
      </c>
      <c r="O16" s="9">
        <v>2</v>
      </c>
    </row>
    <row r="17" spans="1:15" ht="16.5" customHeight="1">
      <c r="A17" s="7">
        <v>14</v>
      </c>
      <c r="B17" s="6" t="s">
        <v>40</v>
      </c>
      <c r="C17" s="6" t="str">
        <f>"1011201607240856435505"</f>
        <v>1011201607240856435505</v>
      </c>
      <c r="D17" s="6" t="s">
        <v>183</v>
      </c>
      <c r="E17" s="6" t="s">
        <v>10</v>
      </c>
      <c r="F17" s="6" t="str">
        <f>"341227199102220217"</f>
        <v>341227199102220217</v>
      </c>
      <c r="G17" s="6" t="s">
        <v>11</v>
      </c>
      <c r="H17" s="6" t="s">
        <v>184</v>
      </c>
      <c r="I17" s="6" t="s">
        <v>41</v>
      </c>
      <c r="J17" s="6">
        <v>2016055121</v>
      </c>
      <c r="K17" s="3">
        <v>67.4</v>
      </c>
      <c r="L17" s="3">
        <v>79.6</v>
      </c>
      <c r="M17" s="3"/>
      <c r="N17" s="3">
        <f t="shared" si="0"/>
        <v>74.72</v>
      </c>
      <c r="O17" s="9">
        <v>3</v>
      </c>
    </row>
    <row r="18" spans="1:15" ht="16.5" customHeight="1">
      <c r="A18" s="7">
        <v>15</v>
      </c>
      <c r="B18" s="6" t="s">
        <v>74</v>
      </c>
      <c r="C18" s="6" t="str">
        <f>"1011201607230910264666"</f>
        <v>1011201607230910264666</v>
      </c>
      <c r="D18" s="6" t="s">
        <v>75</v>
      </c>
      <c r="E18" s="6" t="s">
        <v>10</v>
      </c>
      <c r="F18" s="6" t="str">
        <f>"341227199104099019"</f>
        <v>341227199104099019</v>
      </c>
      <c r="G18" s="6" t="s">
        <v>11</v>
      </c>
      <c r="H18" s="6" t="s">
        <v>76</v>
      </c>
      <c r="I18" s="6" t="s">
        <v>77</v>
      </c>
      <c r="J18" s="6">
        <v>2016065226</v>
      </c>
      <c r="K18" s="4">
        <v>85.8</v>
      </c>
      <c r="L18" s="4">
        <v>78.8</v>
      </c>
      <c r="M18" s="4"/>
      <c r="N18" s="10">
        <f t="shared" si="0"/>
        <v>81.6</v>
      </c>
      <c r="O18" s="8">
        <v>1</v>
      </c>
    </row>
    <row r="19" spans="1:15" ht="16.5" customHeight="1">
      <c r="A19" s="7">
        <v>16</v>
      </c>
      <c r="B19" s="6" t="s">
        <v>74</v>
      </c>
      <c r="C19" s="6" t="str">
        <f>"1011201607242214235857"</f>
        <v>1011201607242214235857</v>
      </c>
      <c r="D19" s="6" t="s">
        <v>216</v>
      </c>
      <c r="E19" s="6" t="s">
        <v>10</v>
      </c>
      <c r="F19" s="6" t="str">
        <f>"341623199310289012"</f>
        <v>341623199310289012</v>
      </c>
      <c r="G19" s="6" t="s">
        <v>11</v>
      </c>
      <c r="H19" s="6" t="s">
        <v>33</v>
      </c>
      <c r="I19" s="6" t="s">
        <v>77</v>
      </c>
      <c r="J19" s="6">
        <v>2016065214</v>
      </c>
      <c r="K19" s="4">
        <v>76.6</v>
      </c>
      <c r="L19" s="4">
        <v>84.6</v>
      </c>
      <c r="M19" s="4"/>
      <c r="N19" s="10">
        <f t="shared" si="0"/>
        <v>81.4</v>
      </c>
      <c r="O19" s="8">
        <v>2</v>
      </c>
    </row>
    <row r="20" spans="1:15" ht="16.5" customHeight="1">
      <c r="A20" s="7">
        <v>17</v>
      </c>
      <c r="B20" s="6" t="s">
        <v>43</v>
      </c>
      <c r="C20" s="6" t="str">
        <f>"1011201607232007555374"</f>
        <v>1011201607232007555374</v>
      </c>
      <c r="D20" s="6" t="s">
        <v>165</v>
      </c>
      <c r="E20" s="6" t="s">
        <v>10</v>
      </c>
      <c r="F20" s="6" t="str">
        <f>"341227199106256110"</f>
        <v>341227199106256110</v>
      </c>
      <c r="G20" s="6" t="s">
        <v>11</v>
      </c>
      <c r="H20" s="6" t="s">
        <v>166</v>
      </c>
      <c r="I20" s="6" t="s">
        <v>167</v>
      </c>
      <c r="J20" s="6">
        <v>2016075405</v>
      </c>
      <c r="K20" s="4">
        <v>71.2</v>
      </c>
      <c r="L20" s="4">
        <v>82.8</v>
      </c>
      <c r="M20" s="4"/>
      <c r="N20" s="3">
        <f t="shared" si="0"/>
        <v>78.16</v>
      </c>
      <c r="O20" s="9">
        <v>1</v>
      </c>
    </row>
    <row r="21" spans="1:15" ht="16.5" customHeight="1">
      <c r="A21" s="7">
        <v>18</v>
      </c>
      <c r="B21" s="6" t="s">
        <v>43</v>
      </c>
      <c r="C21" s="6" t="str">
        <f>"1011201607271310366584"</f>
        <v>1011201607271310366584</v>
      </c>
      <c r="D21" s="6" t="s">
        <v>252</v>
      </c>
      <c r="E21" s="6" t="s">
        <v>10</v>
      </c>
      <c r="F21" s="6" t="str">
        <f>"340621199010088477"</f>
        <v>340621199010088477</v>
      </c>
      <c r="G21" s="6" t="s">
        <v>11</v>
      </c>
      <c r="H21" s="6" t="s">
        <v>197</v>
      </c>
      <c r="I21" s="6" t="s">
        <v>167</v>
      </c>
      <c r="J21" s="6">
        <v>2016075403</v>
      </c>
      <c r="K21" s="4">
        <v>69</v>
      </c>
      <c r="L21" s="4">
        <v>75.2</v>
      </c>
      <c r="M21" s="4"/>
      <c r="N21" s="3">
        <f t="shared" si="0"/>
        <v>72.72</v>
      </c>
      <c r="O21" s="9">
        <v>2</v>
      </c>
    </row>
    <row r="22" spans="1:15" ht="16.5" customHeight="1">
      <c r="A22" s="7">
        <v>19</v>
      </c>
      <c r="B22" s="6" t="s">
        <v>47</v>
      </c>
      <c r="C22" s="6" t="str">
        <f>"1011201607261902436431"</f>
        <v>1011201607261902436431</v>
      </c>
      <c r="D22" s="6" t="s">
        <v>245</v>
      </c>
      <c r="E22" s="6" t="s">
        <v>15</v>
      </c>
      <c r="F22" s="6" t="str">
        <f>"341223199201130123"</f>
        <v>341223199201130123</v>
      </c>
      <c r="G22" s="6" t="s">
        <v>11</v>
      </c>
      <c r="H22" s="6" t="s">
        <v>22</v>
      </c>
      <c r="I22" s="6" t="s">
        <v>246</v>
      </c>
      <c r="J22" s="6">
        <v>2016085421</v>
      </c>
      <c r="K22" s="4">
        <v>48.3</v>
      </c>
      <c r="L22" s="4">
        <v>84.5</v>
      </c>
      <c r="M22" s="4"/>
      <c r="N22" s="3">
        <f t="shared" si="0"/>
        <v>70.02</v>
      </c>
      <c r="O22" s="8">
        <v>1</v>
      </c>
    </row>
    <row r="23" spans="1:15" ht="16.5" customHeight="1">
      <c r="A23" s="7">
        <v>20</v>
      </c>
      <c r="B23" s="6" t="s">
        <v>118</v>
      </c>
      <c r="C23" s="6" t="str">
        <f>"1011201607231119174943"</f>
        <v>1011201607231119174943</v>
      </c>
      <c r="D23" s="6" t="s">
        <v>119</v>
      </c>
      <c r="E23" s="6" t="s">
        <v>10</v>
      </c>
      <c r="F23" s="6" t="str">
        <f>"341224198811162335"</f>
        <v>341224198811162335</v>
      </c>
      <c r="G23" s="6" t="s">
        <v>11</v>
      </c>
      <c r="H23" s="6" t="s">
        <v>120</v>
      </c>
      <c r="I23" s="6" t="s">
        <v>121</v>
      </c>
      <c r="J23" s="6">
        <v>2016095425</v>
      </c>
      <c r="K23" s="1">
        <v>66.7</v>
      </c>
      <c r="L23" s="1">
        <v>75.2</v>
      </c>
      <c r="M23" s="1"/>
      <c r="N23" s="11">
        <f t="shared" si="0"/>
        <v>71.8</v>
      </c>
      <c r="O23" s="9">
        <v>1</v>
      </c>
    </row>
    <row r="24" spans="1:15" ht="16.5" customHeight="1">
      <c r="A24" s="7">
        <v>21</v>
      </c>
      <c r="B24" s="6" t="s">
        <v>72</v>
      </c>
      <c r="C24" s="6" t="str">
        <f>"1011201607231025274840"</f>
        <v>1011201607231025274840</v>
      </c>
      <c r="D24" s="6" t="s">
        <v>98</v>
      </c>
      <c r="E24" s="6" t="s">
        <v>15</v>
      </c>
      <c r="F24" s="6" t="str">
        <f>"341281198907071101"</f>
        <v>341281198907071101</v>
      </c>
      <c r="G24" s="6" t="s">
        <v>11</v>
      </c>
      <c r="H24" s="6" t="s">
        <v>35</v>
      </c>
      <c r="I24" s="6" t="s">
        <v>73</v>
      </c>
      <c r="J24" s="6">
        <v>2016115508</v>
      </c>
      <c r="K24" s="4">
        <v>72.30000000000001</v>
      </c>
      <c r="L24" s="4">
        <v>80.2</v>
      </c>
      <c r="M24" s="4"/>
      <c r="N24" s="3">
        <f t="shared" si="0"/>
        <v>77.04</v>
      </c>
      <c r="O24" s="9">
        <v>1</v>
      </c>
    </row>
    <row r="25" spans="1:15" ht="16.5" customHeight="1">
      <c r="A25" s="7">
        <v>22</v>
      </c>
      <c r="B25" s="6" t="s">
        <v>72</v>
      </c>
      <c r="C25" s="6" t="str">
        <f>"1011201607231325105070"</f>
        <v>1011201607231325105070</v>
      </c>
      <c r="D25" s="6" t="s">
        <v>135</v>
      </c>
      <c r="E25" s="6" t="s">
        <v>10</v>
      </c>
      <c r="F25" s="6" t="str">
        <f>"341227198510242613"</f>
        <v>341227198510242613</v>
      </c>
      <c r="G25" s="6" t="s">
        <v>44</v>
      </c>
      <c r="H25" s="6" t="s">
        <v>136</v>
      </c>
      <c r="I25" s="6" t="s">
        <v>137</v>
      </c>
      <c r="J25" s="6">
        <v>2016115507</v>
      </c>
      <c r="K25" s="4">
        <v>61.4</v>
      </c>
      <c r="L25" s="4">
        <v>84.6</v>
      </c>
      <c r="M25" s="4"/>
      <c r="N25" s="3">
        <f t="shared" si="0"/>
        <v>75.32</v>
      </c>
      <c r="O25" s="9">
        <v>2</v>
      </c>
    </row>
    <row r="26" spans="1:15" ht="16.5" customHeight="1">
      <c r="A26" s="7">
        <v>23</v>
      </c>
      <c r="B26" s="6" t="s">
        <v>60</v>
      </c>
      <c r="C26" s="6" t="str">
        <f>"1011201607230904334647"</f>
        <v>1011201607230904334647</v>
      </c>
      <c r="D26" s="6" t="s">
        <v>61</v>
      </c>
      <c r="E26" s="6" t="s">
        <v>15</v>
      </c>
      <c r="F26" s="6" t="str">
        <f>"342623198606308960"</f>
        <v>342623198606308960</v>
      </c>
      <c r="G26" s="6" t="s">
        <v>11</v>
      </c>
      <c r="H26" s="6" t="s">
        <v>62</v>
      </c>
      <c r="I26" s="6" t="s">
        <v>63</v>
      </c>
      <c r="J26" s="6">
        <v>2016125515</v>
      </c>
      <c r="K26" s="4">
        <v>68.5</v>
      </c>
      <c r="L26" s="4">
        <v>82.4</v>
      </c>
      <c r="M26" s="4">
        <v>2</v>
      </c>
      <c r="N26" s="3">
        <v>78.84</v>
      </c>
      <c r="O26" s="9">
        <v>1</v>
      </c>
    </row>
    <row r="27" spans="1:15" ht="16.5" customHeight="1">
      <c r="A27" s="7">
        <v>24</v>
      </c>
      <c r="B27" s="6" t="s">
        <v>60</v>
      </c>
      <c r="C27" s="6" t="str">
        <f>"1011201607251204086010"</f>
        <v>1011201607251204086010</v>
      </c>
      <c r="D27" s="6" t="s">
        <v>219</v>
      </c>
      <c r="E27" s="6" t="s">
        <v>15</v>
      </c>
      <c r="F27" s="6" t="str">
        <f>"340821198107274221"</f>
        <v>340821198107274221</v>
      </c>
      <c r="G27" s="6" t="s">
        <v>11</v>
      </c>
      <c r="H27" s="6" t="s">
        <v>55</v>
      </c>
      <c r="I27" s="6" t="s">
        <v>220</v>
      </c>
      <c r="J27" s="6">
        <v>2016125516</v>
      </c>
      <c r="K27" s="4">
        <v>76.5</v>
      </c>
      <c r="L27" s="4">
        <v>68.6</v>
      </c>
      <c r="M27" s="4"/>
      <c r="N27" s="3">
        <f>K27*0.4+L27*0.6</f>
        <v>71.75999999999999</v>
      </c>
      <c r="O27" s="9">
        <v>2</v>
      </c>
    </row>
    <row r="28" spans="1:15" ht="16.5" customHeight="1">
      <c r="A28" s="7">
        <v>25</v>
      </c>
      <c r="B28" s="6" t="s">
        <v>149</v>
      </c>
      <c r="C28" s="6" t="str">
        <f>"1011201607241927465810"</f>
        <v>1011201607241927465810</v>
      </c>
      <c r="D28" s="6" t="s">
        <v>207</v>
      </c>
      <c r="E28" s="6" t="s">
        <v>10</v>
      </c>
      <c r="F28" s="6" t="str">
        <f>"341204199202240018"</f>
        <v>341204199202240018</v>
      </c>
      <c r="G28" s="6" t="s">
        <v>11</v>
      </c>
      <c r="H28" s="6" t="s">
        <v>208</v>
      </c>
      <c r="I28" s="6" t="s">
        <v>209</v>
      </c>
      <c r="J28" s="6">
        <v>2016135521</v>
      </c>
      <c r="K28" s="4">
        <v>68.5</v>
      </c>
      <c r="L28" s="4">
        <v>79.8</v>
      </c>
      <c r="M28" s="4"/>
      <c r="N28" s="3">
        <f>K28*0.4+L28*0.6</f>
        <v>75.28</v>
      </c>
      <c r="O28" s="9">
        <v>1</v>
      </c>
    </row>
    <row r="29" spans="1:15" ht="16.5" customHeight="1">
      <c r="A29" s="7">
        <v>26</v>
      </c>
      <c r="B29" s="6" t="s">
        <v>149</v>
      </c>
      <c r="C29" s="6" t="str">
        <f>"1011201607262121016468"</f>
        <v>1011201607262121016468</v>
      </c>
      <c r="D29" s="6" t="s">
        <v>247</v>
      </c>
      <c r="E29" s="6" t="s">
        <v>15</v>
      </c>
      <c r="F29" s="6" t="str">
        <f>"411502198502089329"</f>
        <v>411502198502089329</v>
      </c>
      <c r="G29" s="6" t="s">
        <v>11</v>
      </c>
      <c r="H29" s="6" t="s">
        <v>237</v>
      </c>
      <c r="I29" s="6" t="s">
        <v>248</v>
      </c>
      <c r="J29" s="6">
        <v>2016135519</v>
      </c>
      <c r="K29" s="4">
        <v>73.8</v>
      </c>
      <c r="L29" s="4">
        <v>69.8</v>
      </c>
      <c r="M29" s="4"/>
      <c r="N29" s="3">
        <f>K29*0.4+L29*0.6</f>
        <v>71.39999999999999</v>
      </c>
      <c r="O29" s="9">
        <v>2</v>
      </c>
    </row>
    <row r="30" spans="1:15" ht="16.5" customHeight="1">
      <c r="A30" s="7">
        <v>27</v>
      </c>
      <c r="B30" s="6" t="s">
        <v>101</v>
      </c>
      <c r="C30" s="6" t="str">
        <f>"1011201607231245155026"</f>
        <v>1011201607231245155026</v>
      </c>
      <c r="D30" s="6" t="s">
        <v>125</v>
      </c>
      <c r="E30" s="6" t="s">
        <v>10</v>
      </c>
      <c r="F30" s="6" t="str">
        <f>"341227198812090037"</f>
        <v>341227198812090037</v>
      </c>
      <c r="G30" s="6" t="s">
        <v>11</v>
      </c>
      <c r="H30" s="6" t="s">
        <v>102</v>
      </c>
      <c r="I30" s="6" t="s">
        <v>103</v>
      </c>
      <c r="J30" s="6">
        <v>2016145601</v>
      </c>
      <c r="K30" s="4">
        <v>72</v>
      </c>
      <c r="L30" s="4">
        <v>83.8</v>
      </c>
      <c r="M30" s="4">
        <v>2</v>
      </c>
      <c r="N30" s="3">
        <v>81.08</v>
      </c>
      <c r="O30" s="9">
        <v>1</v>
      </c>
    </row>
    <row r="31" spans="1:15" ht="16.5" customHeight="1">
      <c r="A31" s="7">
        <v>28</v>
      </c>
      <c r="B31" s="6" t="s">
        <v>51</v>
      </c>
      <c r="C31" s="6" t="str">
        <f>"1011201607261653286386"</f>
        <v>1011201607261653286386</v>
      </c>
      <c r="D31" s="6" t="s">
        <v>241</v>
      </c>
      <c r="E31" s="6" t="s">
        <v>10</v>
      </c>
      <c r="F31" s="6" t="str">
        <f>"371502199009217851"</f>
        <v>371502199009217851</v>
      </c>
      <c r="G31" s="6" t="s">
        <v>11</v>
      </c>
      <c r="H31" s="6" t="s">
        <v>242</v>
      </c>
      <c r="I31" s="6" t="s">
        <v>243</v>
      </c>
      <c r="J31" s="6">
        <v>2016155610</v>
      </c>
      <c r="K31" s="4">
        <v>72.9</v>
      </c>
      <c r="L31" s="4">
        <v>72.2</v>
      </c>
      <c r="M31" s="4"/>
      <c r="N31" s="3">
        <f aca="true" t="shared" si="1" ref="N31:N62">K31*0.4+L31*0.6</f>
        <v>72.48</v>
      </c>
      <c r="O31" s="9">
        <v>1</v>
      </c>
    </row>
    <row r="32" spans="1:15" ht="16.5" customHeight="1">
      <c r="A32" s="7">
        <v>29</v>
      </c>
      <c r="B32" s="6" t="s">
        <v>110</v>
      </c>
      <c r="C32" s="6" t="str">
        <f>"1011201607231314355057"</f>
        <v>1011201607231314355057</v>
      </c>
      <c r="D32" s="6" t="s">
        <v>168</v>
      </c>
      <c r="E32" s="6" t="s">
        <v>15</v>
      </c>
      <c r="F32" s="6" t="str">
        <f>"341227199408055242"</f>
        <v>341227199408055242</v>
      </c>
      <c r="G32" s="6" t="s">
        <v>16</v>
      </c>
      <c r="H32" s="6" t="s">
        <v>169</v>
      </c>
      <c r="I32" s="6" t="s">
        <v>111</v>
      </c>
      <c r="J32" s="6">
        <v>2016175612</v>
      </c>
      <c r="K32" s="4">
        <v>60.5</v>
      </c>
      <c r="L32" s="4">
        <v>89</v>
      </c>
      <c r="M32" s="4"/>
      <c r="N32" s="3">
        <f t="shared" si="1"/>
        <v>77.6</v>
      </c>
      <c r="O32" s="9">
        <v>1</v>
      </c>
    </row>
    <row r="33" spans="1:15" ht="16.5" customHeight="1">
      <c r="A33" s="7">
        <v>30</v>
      </c>
      <c r="B33" s="6" t="s">
        <v>14</v>
      </c>
      <c r="C33" s="6" t="str">
        <f>"1011201607231220544997"</f>
        <v>1011201607231220544997</v>
      </c>
      <c r="D33" s="6" t="s">
        <v>130</v>
      </c>
      <c r="E33" s="6" t="s">
        <v>15</v>
      </c>
      <c r="F33" s="6" t="str">
        <f>"34122719920721442X"</f>
        <v>34122719920721442X</v>
      </c>
      <c r="G33" s="6" t="s">
        <v>16</v>
      </c>
      <c r="H33" s="6" t="s">
        <v>12</v>
      </c>
      <c r="I33" s="6" t="s">
        <v>131</v>
      </c>
      <c r="J33" s="6">
        <v>2016180726</v>
      </c>
      <c r="K33" s="4">
        <v>102.6</v>
      </c>
      <c r="L33" s="4">
        <v>105.2</v>
      </c>
      <c r="M33" s="4"/>
      <c r="N33" s="3">
        <f t="shared" si="1"/>
        <v>104.16</v>
      </c>
      <c r="O33" s="8">
        <v>1</v>
      </c>
    </row>
    <row r="34" spans="1:15" ht="16.5" customHeight="1">
      <c r="A34" s="7">
        <v>31</v>
      </c>
      <c r="B34" s="6" t="s">
        <v>14</v>
      </c>
      <c r="C34" s="6" t="str">
        <f>"1011201607241130055623"</f>
        <v>1011201607241130055623</v>
      </c>
      <c r="D34" s="6" t="s">
        <v>193</v>
      </c>
      <c r="E34" s="6" t="s">
        <v>15</v>
      </c>
      <c r="F34" s="6" t="str">
        <f>"341227199402061545"</f>
        <v>341227199402061545</v>
      </c>
      <c r="G34" s="6" t="s">
        <v>11</v>
      </c>
      <c r="H34" s="6" t="s">
        <v>194</v>
      </c>
      <c r="I34" s="6" t="s">
        <v>17</v>
      </c>
      <c r="J34" s="6">
        <v>2016184525</v>
      </c>
      <c r="K34" s="4">
        <v>96.7</v>
      </c>
      <c r="L34" s="4">
        <v>101</v>
      </c>
      <c r="M34" s="4"/>
      <c r="N34" s="3">
        <f t="shared" si="1"/>
        <v>99.28</v>
      </c>
      <c r="O34" s="8">
        <v>2</v>
      </c>
    </row>
    <row r="35" spans="1:15" ht="16.5" customHeight="1">
      <c r="A35" s="7">
        <v>32</v>
      </c>
      <c r="B35" s="6" t="s">
        <v>14</v>
      </c>
      <c r="C35" s="6" t="str">
        <f>"1011201607230805484485"</f>
        <v>1011201607230805484485</v>
      </c>
      <c r="D35" s="6" t="s">
        <v>139</v>
      </c>
      <c r="E35" s="6" t="s">
        <v>15</v>
      </c>
      <c r="F35" s="6" t="str">
        <f>"341227199210101522"</f>
        <v>341227199210101522</v>
      </c>
      <c r="G35" s="6" t="s">
        <v>16</v>
      </c>
      <c r="H35" s="6" t="s">
        <v>27</v>
      </c>
      <c r="I35" s="6" t="s">
        <v>17</v>
      </c>
      <c r="J35" s="6">
        <v>2016182617</v>
      </c>
      <c r="K35" s="4">
        <v>102.1</v>
      </c>
      <c r="L35" s="4">
        <v>95</v>
      </c>
      <c r="M35" s="4"/>
      <c r="N35" s="3">
        <f t="shared" si="1"/>
        <v>97.84</v>
      </c>
      <c r="O35" s="8">
        <v>3</v>
      </c>
    </row>
    <row r="36" spans="1:15" ht="16.5" customHeight="1">
      <c r="A36" s="7">
        <v>33</v>
      </c>
      <c r="B36" s="6" t="s">
        <v>14</v>
      </c>
      <c r="C36" s="6" t="str">
        <f>"1011201607242242345867"</f>
        <v>1011201607242242345867</v>
      </c>
      <c r="D36" s="6" t="s">
        <v>217</v>
      </c>
      <c r="E36" s="6" t="s">
        <v>15</v>
      </c>
      <c r="F36" s="6" t="str">
        <f>"341227199410251541"</f>
        <v>341227199410251541</v>
      </c>
      <c r="G36" s="6" t="s">
        <v>16</v>
      </c>
      <c r="H36" s="6" t="s">
        <v>67</v>
      </c>
      <c r="I36" s="6" t="s">
        <v>17</v>
      </c>
      <c r="J36" s="6">
        <v>2016180214</v>
      </c>
      <c r="K36" s="4">
        <v>102.6</v>
      </c>
      <c r="L36" s="4">
        <v>94</v>
      </c>
      <c r="M36" s="4"/>
      <c r="N36" s="3">
        <f t="shared" si="1"/>
        <v>97.44</v>
      </c>
      <c r="O36" s="8">
        <v>4</v>
      </c>
    </row>
    <row r="37" spans="1:15" ht="16.5" customHeight="1">
      <c r="A37" s="7">
        <v>34</v>
      </c>
      <c r="B37" s="6" t="s">
        <v>14</v>
      </c>
      <c r="C37" s="6" t="str">
        <f>"1011201607231050204886"</f>
        <v>1011201607231050204886</v>
      </c>
      <c r="D37" s="6" t="s">
        <v>155</v>
      </c>
      <c r="E37" s="6" t="s">
        <v>15</v>
      </c>
      <c r="F37" s="6" t="str">
        <f>"34122719930816808X"</f>
        <v>34122719930816808X</v>
      </c>
      <c r="G37" s="6" t="s">
        <v>16</v>
      </c>
      <c r="H37" s="6" t="s">
        <v>22</v>
      </c>
      <c r="I37" s="6" t="s">
        <v>17</v>
      </c>
      <c r="J37" s="6">
        <v>2016181716</v>
      </c>
      <c r="K37" s="4">
        <v>94.1</v>
      </c>
      <c r="L37" s="4">
        <v>99</v>
      </c>
      <c r="M37" s="4"/>
      <c r="N37" s="3">
        <f t="shared" si="1"/>
        <v>97.03999999999999</v>
      </c>
      <c r="O37" s="8">
        <v>5</v>
      </c>
    </row>
    <row r="38" spans="1:15" ht="16.5" customHeight="1">
      <c r="A38" s="7">
        <v>35</v>
      </c>
      <c r="B38" s="6" t="s">
        <v>14</v>
      </c>
      <c r="C38" s="6" t="str">
        <f>"1011201607231611485217"</f>
        <v>1011201607231611485217</v>
      </c>
      <c r="D38" s="6" t="s">
        <v>150</v>
      </c>
      <c r="E38" s="6" t="s">
        <v>15</v>
      </c>
      <c r="F38" s="6" t="str">
        <f>"341224199507130229"</f>
        <v>341224199507130229</v>
      </c>
      <c r="G38" s="6" t="s">
        <v>16</v>
      </c>
      <c r="H38" s="6" t="s">
        <v>20</v>
      </c>
      <c r="I38" s="6" t="s">
        <v>17</v>
      </c>
      <c r="J38" s="6">
        <v>2016183420</v>
      </c>
      <c r="K38" s="4">
        <v>98.9</v>
      </c>
      <c r="L38" s="4">
        <v>94.6</v>
      </c>
      <c r="M38" s="4"/>
      <c r="N38" s="3">
        <f t="shared" si="1"/>
        <v>96.32</v>
      </c>
      <c r="O38" s="8">
        <v>6</v>
      </c>
    </row>
    <row r="39" spans="1:15" ht="16.5" customHeight="1">
      <c r="A39" s="7">
        <v>36</v>
      </c>
      <c r="B39" s="6" t="s">
        <v>14</v>
      </c>
      <c r="C39" s="6" t="str">
        <f>"1011201607231019474828"</f>
        <v>1011201607231019474828</v>
      </c>
      <c r="D39" s="6" t="s">
        <v>112</v>
      </c>
      <c r="E39" s="6" t="s">
        <v>15</v>
      </c>
      <c r="F39" s="6" t="str">
        <f>"341223199304012541"</f>
        <v>341223199304012541</v>
      </c>
      <c r="G39" s="6" t="s">
        <v>16</v>
      </c>
      <c r="H39" s="6" t="s">
        <v>22</v>
      </c>
      <c r="I39" s="6" t="s">
        <v>17</v>
      </c>
      <c r="J39" s="6">
        <v>2016181517</v>
      </c>
      <c r="K39" s="4">
        <v>108.2</v>
      </c>
      <c r="L39" s="4">
        <v>88.2</v>
      </c>
      <c r="M39" s="4"/>
      <c r="N39" s="3">
        <f t="shared" si="1"/>
        <v>96.2</v>
      </c>
      <c r="O39" s="8">
        <v>7</v>
      </c>
    </row>
    <row r="40" spans="1:15" ht="16.5" customHeight="1">
      <c r="A40" s="7">
        <v>37</v>
      </c>
      <c r="B40" s="6" t="s">
        <v>14</v>
      </c>
      <c r="C40" s="6" t="str">
        <f>"1011201607230830154569"</f>
        <v>1011201607230830154569</v>
      </c>
      <c r="D40" s="6" t="s">
        <v>49</v>
      </c>
      <c r="E40" s="6" t="s">
        <v>15</v>
      </c>
      <c r="F40" s="6" t="str">
        <f>"370923198909243949"</f>
        <v>370923198909243949</v>
      </c>
      <c r="G40" s="6" t="s">
        <v>11</v>
      </c>
      <c r="H40" s="6" t="s">
        <v>50</v>
      </c>
      <c r="I40" s="6" t="s">
        <v>17</v>
      </c>
      <c r="J40" s="6">
        <v>2016180829</v>
      </c>
      <c r="K40" s="4">
        <v>95.80000000000001</v>
      </c>
      <c r="L40" s="4">
        <v>96.4</v>
      </c>
      <c r="M40" s="4"/>
      <c r="N40" s="3">
        <f t="shared" si="1"/>
        <v>96.16000000000001</v>
      </c>
      <c r="O40" s="8">
        <v>8</v>
      </c>
    </row>
    <row r="41" spans="1:15" ht="16.5" customHeight="1">
      <c r="A41" s="7">
        <v>38</v>
      </c>
      <c r="B41" s="6" t="s">
        <v>14</v>
      </c>
      <c r="C41" s="6" t="str">
        <f>"1011201607231120454945"</f>
        <v>1011201607231120454945</v>
      </c>
      <c r="D41" s="6" t="s">
        <v>56</v>
      </c>
      <c r="E41" s="6" t="s">
        <v>15</v>
      </c>
      <c r="F41" s="6" t="str">
        <f>"341227199410261045"</f>
        <v>341227199410261045</v>
      </c>
      <c r="G41" s="6" t="s">
        <v>24</v>
      </c>
      <c r="H41" s="6" t="s">
        <v>18</v>
      </c>
      <c r="I41" s="6" t="s">
        <v>17</v>
      </c>
      <c r="J41" s="6">
        <v>2016180719</v>
      </c>
      <c r="K41" s="4">
        <v>96.9</v>
      </c>
      <c r="L41" s="4">
        <v>95.4</v>
      </c>
      <c r="M41" s="4"/>
      <c r="N41" s="3">
        <f t="shared" si="1"/>
        <v>96</v>
      </c>
      <c r="O41" s="8">
        <v>9</v>
      </c>
    </row>
    <row r="42" spans="1:15" ht="16.5" customHeight="1">
      <c r="A42" s="7">
        <v>39</v>
      </c>
      <c r="B42" s="6" t="s">
        <v>14</v>
      </c>
      <c r="C42" s="6" t="str">
        <f>"1011201607231029464851"</f>
        <v>1011201607231029464851</v>
      </c>
      <c r="D42" s="6" t="s">
        <v>107</v>
      </c>
      <c r="E42" s="6" t="s">
        <v>15</v>
      </c>
      <c r="F42" s="6" t="str">
        <f>"341227199707093724"</f>
        <v>341227199707093724</v>
      </c>
      <c r="G42" s="6" t="s">
        <v>24</v>
      </c>
      <c r="H42" s="6" t="s">
        <v>18</v>
      </c>
      <c r="I42" s="6" t="s">
        <v>17</v>
      </c>
      <c r="J42" s="6">
        <v>2016180803</v>
      </c>
      <c r="K42" s="4">
        <v>108</v>
      </c>
      <c r="L42" s="4">
        <v>87.8</v>
      </c>
      <c r="M42" s="4"/>
      <c r="N42" s="3">
        <f t="shared" si="1"/>
        <v>95.88</v>
      </c>
      <c r="O42" s="8">
        <v>10</v>
      </c>
    </row>
    <row r="43" spans="1:15" ht="16.5" customHeight="1">
      <c r="A43" s="7">
        <v>40</v>
      </c>
      <c r="B43" s="6" t="s">
        <v>14</v>
      </c>
      <c r="C43" s="6" t="str">
        <f>"1011201607230956444784"</f>
        <v>1011201607230956444784</v>
      </c>
      <c r="D43" s="6" t="s">
        <v>163</v>
      </c>
      <c r="E43" s="6" t="s">
        <v>15</v>
      </c>
      <c r="F43" s="6" t="str">
        <f>"341227199610060029"</f>
        <v>341227199610060029</v>
      </c>
      <c r="G43" s="6" t="s">
        <v>16</v>
      </c>
      <c r="H43" s="6" t="s">
        <v>126</v>
      </c>
      <c r="I43" s="6" t="s">
        <v>17</v>
      </c>
      <c r="J43" s="6">
        <v>2016184313</v>
      </c>
      <c r="K43" s="4">
        <v>103.4</v>
      </c>
      <c r="L43" s="4">
        <v>90.6</v>
      </c>
      <c r="M43" s="4"/>
      <c r="N43" s="3">
        <f t="shared" si="1"/>
        <v>95.72</v>
      </c>
      <c r="O43" s="8">
        <v>11</v>
      </c>
    </row>
    <row r="44" spans="1:15" ht="16.5" customHeight="1">
      <c r="A44" s="7">
        <v>41</v>
      </c>
      <c r="B44" s="6" t="s">
        <v>14</v>
      </c>
      <c r="C44" s="6" t="str">
        <f>"1011201607230802494471"</f>
        <v>1011201607230802494471</v>
      </c>
      <c r="D44" s="6" t="s">
        <v>19</v>
      </c>
      <c r="E44" s="6" t="s">
        <v>15</v>
      </c>
      <c r="F44" s="6" t="str">
        <f>"341227199207108723"</f>
        <v>341227199207108723</v>
      </c>
      <c r="G44" s="6" t="s">
        <v>16</v>
      </c>
      <c r="H44" s="6" t="s">
        <v>20</v>
      </c>
      <c r="I44" s="6" t="s">
        <v>17</v>
      </c>
      <c r="J44" s="6">
        <v>2016181718</v>
      </c>
      <c r="K44" s="4">
        <v>104.5</v>
      </c>
      <c r="L44" s="4">
        <v>89.6</v>
      </c>
      <c r="M44" s="4"/>
      <c r="N44" s="3">
        <f t="shared" si="1"/>
        <v>95.56</v>
      </c>
      <c r="O44" s="8">
        <v>12</v>
      </c>
    </row>
    <row r="45" spans="1:15" ht="16.5" customHeight="1">
      <c r="A45" s="7">
        <v>42</v>
      </c>
      <c r="B45" s="6" t="s">
        <v>14</v>
      </c>
      <c r="C45" s="6" t="str">
        <f>"1011201607231020134829"</f>
        <v>1011201607231020134829</v>
      </c>
      <c r="D45" s="6" t="s">
        <v>104</v>
      </c>
      <c r="E45" s="6" t="s">
        <v>15</v>
      </c>
      <c r="F45" s="6" t="str">
        <f>"341223199501033528"</f>
        <v>341223199501033528</v>
      </c>
      <c r="G45" s="6" t="s">
        <v>16</v>
      </c>
      <c r="H45" s="6" t="s">
        <v>31</v>
      </c>
      <c r="I45" s="6" t="s">
        <v>17</v>
      </c>
      <c r="J45" s="6">
        <v>2016181928</v>
      </c>
      <c r="K45" s="4">
        <v>92.3</v>
      </c>
      <c r="L45" s="4">
        <v>95.8</v>
      </c>
      <c r="M45" s="4"/>
      <c r="N45" s="3">
        <f t="shared" si="1"/>
        <v>94.4</v>
      </c>
      <c r="O45" s="8">
        <v>13</v>
      </c>
    </row>
    <row r="46" spans="1:15" ht="16.5" customHeight="1">
      <c r="A46" s="7">
        <v>43</v>
      </c>
      <c r="B46" s="6" t="s">
        <v>14</v>
      </c>
      <c r="C46" s="6" t="str">
        <f>"1011201607231130324956"</f>
        <v>1011201607231130324956</v>
      </c>
      <c r="D46" s="6" t="s">
        <v>129</v>
      </c>
      <c r="E46" s="6" t="s">
        <v>15</v>
      </c>
      <c r="F46" s="6" t="str">
        <f>"341227199203118043"</f>
        <v>341227199203118043</v>
      </c>
      <c r="G46" s="6" t="s">
        <v>16</v>
      </c>
      <c r="H46" s="6" t="s">
        <v>18</v>
      </c>
      <c r="I46" s="6" t="s">
        <v>17</v>
      </c>
      <c r="J46" s="6">
        <v>2016182117</v>
      </c>
      <c r="K46" s="4">
        <v>91.4</v>
      </c>
      <c r="L46" s="4">
        <v>96.2</v>
      </c>
      <c r="M46" s="4"/>
      <c r="N46" s="3">
        <f t="shared" si="1"/>
        <v>94.28</v>
      </c>
      <c r="O46" s="8">
        <v>14</v>
      </c>
    </row>
    <row r="47" spans="1:15" ht="16.5" customHeight="1">
      <c r="A47" s="7">
        <v>44</v>
      </c>
      <c r="B47" s="6" t="s">
        <v>14</v>
      </c>
      <c r="C47" s="6" t="str">
        <f>"1011201607270909036515"</f>
        <v>1011201607270909036515</v>
      </c>
      <c r="D47" s="6" t="s">
        <v>250</v>
      </c>
      <c r="E47" s="6" t="s">
        <v>15</v>
      </c>
      <c r="F47" s="6" t="str">
        <f>"341221199404062041"</f>
        <v>341221199404062041</v>
      </c>
      <c r="G47" s="6" t="s">
        <v>16</v>
      </c>
      <c r="H47" s="6" t="s">
        <v>22</v>
      </c>
      <c r="I47" s="6" t="s">
        <v>17</v>
      </c>
      <c r="J47" s="6">
        <v>2016180430</v>
      </c>
      <c r="K47" s="4">
        <v>99.5</v>
      </c>
      <c r="L47" s="4">
        <v>90.4</v>
      </c>
      <c r="M47" s="4"/>
      <c r="N47" s="3">
        <f t="shared" si="1"/>
        <v>94.04</v>
      </c>
      <c r="O47" s="8">
        <v>15</v>
      </c>
    </row>
    <row r="48" spans="1:15" ht="16.5" customHeight="1">
      <c r="A48" s="7">
        <v>45</v>
      </c>
      <c r="B48" s="6" t="s">
        <v>14</v>
      </c>
      <c r="C48" s="6" t="str">
        <f>"1011201607240950235550"</f>
        <v>1011201607240950235550</v>
      </c>
      <c r="D48" s="6" t="s">
        <v>188</v>
      </c>
      <c r="E48" s="6" t="s">
        <v>15</v>
      </c>
      <c r="F48" s="6" t="str">
        <f>"341227199508165668"</f>
        <v>341227199508165668</v>
      </c>
      <c r="G48" s="6" t="s">
        <v>16</v>
      </c>
      <c r="H48" s="6" t="s">
        <v>22</v>
      </c>
      <c r="I48" s="6" t="s">
        <v>17</v>
      </c>
      <c r="J48" s="6">
        <v>2016181124</v>
      </c>
      <c r="K48" s="4">
        <v>105.80000000000001</v>
      </c>
      <c r="L48" s="4">
        <v>86.2</v>
      </c>
      <c r="M48" s="4"/>
      <c r="N48" s="3">
        <f t="shared" si="1"/>
        <v>94.04</v>
      </c>
      <c r="O48" s="8">
        <v>16</v>
      </c>
    </row>
    <row r="49" spans="1:15" ht="16.5" customHeight="1">
      <c r="A49" s="7">
        <v>46</v>
      </c>
      <c r="B49" s="6" t="s">
        <v>14</v>
      </c>
      <c r="C49" s="6" t="str">
        <f>"1011201607231101434911"</f>
        <v>1011201607231101434911</v>
      </c>
      <c r="D49" s="6" t="s">
        <v>113</v>
      </c>
      <c r="E49" s="6" t="s">
        <v>15</v>
      </c>
      <c r="F49" s="6" t="str">
        <f>"341281199609267223"</f>
        <v>341281199609267223</v>
      </c>
      <c r="G49" s="6" t="s">
        <v>16</v>
      </c>
      <c r="H49" s="6" t="s">
        <v>114</v>
      </c>
      <c r="I49" s="6" t="s">
        <v>17</v>
      </c>
      <c r="J49" s="6">
        <v>2016183906</v>
      </c>
      <c r="K49" s="4">
        <v>105.5</v>
      </c>
      <c r="L49" s="4">
        <v>86.2</v>
      </c>
      <c r="M49" s="4"/>
      <c r="N49" s="3">
        <f t="shared" si="1"/>
        <v>93.92</v>
      </c>
      <c r="O49" s="8">
        <v>17</v>
      </c>
    </row>
    <row r="50" spans="1:15" ht="16.5" customHeight="1">
      <c r="A50" s="7">
        <v>47</v>
      </c>
      <c r="B50" s="6" t="s">
        <v>14</v>
      </c>
      <c r="C50" s="6" t="str">
        <f>"1011201607230812244513"</f>
        <v>1011201607230812244513</v>
      </c>
      <c r="D50" s="6" t="s">
        <v>90</v>
      </c>
      <c r="E50" s="6" t="s">
        <v>15</v>
      </c>
      <c r="F50" s="6" t="str">
        <f>"341281199305128144"</f>
        <v>341281199305128144</v>
      </c>
      <c r="G50" s="6" t="s">
        <v>16</v>
      </c>
      <c r="H50" s="6" t="s">
        <v>34</v>
      </c>
      <c r="I50" s="6" t="s">
        <v>17</v>
      </c>
      <c r="J50" s="6">
        <v>2016182430</v>
      </c>
      <c r="K50" s="4">
        <v>98.8</v>
      </c>
      <c r="L50" s="4">
        <v>90</v>
      </c>
      <c r="M50" s="4"/>
      <c r="N50" s="3">
        <f t="shared" si="1"/>
        <v>93.52000000000001</v>
      </c>
      <c r="O50" s="8">
        <v>18</v>
      </c>
    </row>
    <row r="51" spans="1:15" ht="16.5" customHeight="1">
      <c r="A51" s="7">
        <v>48</v>
      </c>
      <c r="B51" s="6" t="s">
        <v>14</v>
      </c>
      <c r="C51" s="6" t="str">
        <f>"1011201607241846285797"</f>
        <v>1011201607241846285797</v>
      </c>
      <c r="D51" s="6" t="s">
        <v>206</v>
      </c>
      <c r="E51" s="6" t="s">
        <v>15</v>
      </c>
      <c r="F51" s="6" t="str">
        <f>"34122119970108284X"</f>
        <v>34122119970108284X</v>
      </c>
      <c r="G51" s="6" t="s">
        <v>24</v>
      </c>
      <c r="H51" s="6" t="s">
        <v>146</v>
      </c>
      <c r="I51" s="6" t="s">
        <v>17</v>
      </c>
      <c r="J51" s="6">
        <v>2016180525</v>
      </c>
      <c r="K51" s="4">
        <v>96.3</v>
      </c>
      <c r="L51" s="4">
        <v>91.6</v>
      </c>
      <c r="M51" s="4"/>
      <c r="N51" s="3">
        <f t="shared" si="1"/>
        <v>93.47999999999999</v>
      </c>
      <c r="O51" s="8">
        <v>19</v>
      </c>
    </row>
    <row r="52" spans="1:15" ht="16.5" customHeight="1">
      <c r="A52" s="7">
        <v>49</v>
      </c>
      <c r="B52" s="6" t="s">
        <v>14</v>
      </c>
      <c r="C52" s="6" t="str">
        <f>"1011201607251658016107"</f>
        <v>1011201607251658016107</v>
      </c>
      <c r="D52" s="6" t="s">
        <v>225</v>
      </c>
      <c r="E52" s="6" t="s">
        <v>15</v>
      </c>
      <c r="F52" s="6" t="str">
        <f>"341623199011188027"</f>
        <v>341623199011188027</v>
      </c>
      <c r="G52" s="6" t="s">
        <v>11</v>
      </c>
      <c r="H52" s="6" t="s">
        <v>39</v>
      </c>
      <c r="I52" s="6" t="s">
        <v>151</v>
      </c>
      <c r="J52" s="6">
        <v>2016182622</v>
      </c>
      <c r="K52" s="4">
        <v>98.5</v>
      </c>
      <c r="L52" s="4">
        <v>89.4</v>
      </c>
      <c r="M52" s="4"/>
      <c r="N52" s="3">
        <f t="shared" si="1"/>
        <v>93.04</v>
      </c>
      <c r="O52" s="8">
        <v>20</v>
      </c>
    </row>
    <row r="53" spans="1:15" ht="16.5" customHeight="1">
      <c r="A53" s="7">
        <v>50</v>
      </c>
      <c r="B53" s="6" t="s">
        <v>14</v>
      </c>
      <c r="C53" s="6" t="str">
        <f>"1011201607230917314688"</f>
        <v>1011201607230917314688</v>
      </c>
      <c r="D53" s="6" t="s">
        <v>95</v>
      </c>
      <c r="E53" s="6" t="s">
        <v>15</v>
      </c>
      <c r="F53" s="6" t="str">
        <f>"341227198808165649"</f>
        <v>341227198808165649</v>
      </c>
      <c r="G53" s="6" t="s">
        <v>16</v>
      </c>
      <c r="H53" s="6" t="s">
        <v>96</v>
      </c>
      <c r="I53" s="6" t="s">
        <v>17</v>
      </c>
      <c r="J53" s="6">
        <v>2016183506</v>
      </c>
      <c r="K53" s="4">
        <v>94.80000000000001</v>
      </c>
      <c r="L53" s="4">
        <v>91.6</v>
      </c>
      <c r="M53" s="4"/>
      <c r="N53" s="3">
        <f t="shared" si="1"/>
        <v>92.88</v>
      </c>
      <c r="O53" s="8">
        <v>21</v>
      </c>
    </row>
    <row r="54" spans="1:15" ht="16.5" customHeight="1">
      <c r="A54" s="7">
        <v>51</v>
      </c>
      <c r="B54" s="6" t="s">
        <v>14</v>
      </c>
      <c r="C54" s="6" t="str">
        <f>"1011201607250002335880"</f>
        <v>1011201607250002335880</v>
      </c>
      <c r="D54" s="6" t="s">
        <v>231</v>
      </c>
      <c r="E54" s="6" t="s">
        <v>15</v>
      </c>
      <c r="F54" s="6" t="str">
        <f>"341227199202201048"</f>
        <v>341227199202201048</v>
      </c>
      <c r="G54" s="6" t="s">
        <v>16</v>
      </c>
      <c r="H54" s="6" t="s">
        <v>35</v>
      </c>
      <c r="I54" s="6" t="s">
        <v>58</v>
      </c>
      <c r="J54" s="6">
        <v>2016182729</v>
      </c>
      <c r="K54" s="4">
        <v>89.4</v>
      </c>
      <c r="L54" s="4">
        <v>95</v>
      </c>
      <c r="M54" s="4"/>
      <c r="N54" s="3">
        <f t="shared" si="1"/>
        <v>92.76</v>
      </c>
      <c r="O54" s="8">
        <v>22</v>
      </c>
    </row>
    <row r="55" spans="1:15" ht="16.5" customHeight="1">
      <c r="A55" s="7">
        <v>52</v>
      </c>
      <c r="B55" s="6" t="s">
        <v>14</v>
      </c>
      <c r="C55" s="6" t="str">
        <f>"1011201607231636335238"</f>
        <v>1011201607231636335238</v>
      </c>
      <c r="D55" s="6" t="s">
        <v>185</v>
      </c>
      <c r="E55" s="6" t="s">
        <v>15</v>
      </c>
      <c r="F55" s="6" t="str">
        <f>"341226199412175224"</f>
        <v>341226199412175224</v>
      </c>
      <c r="G55" s="6" t="s">
        <v>24</v>
      </c>
      <c r="H55" s="6" t="s">
        <v>28</v>
      </c>
      <c r="I55" s="6" t="s">
        <v>152</v>
      </c>
      <c r="J55" s="6">
        <v>2016184308</v>
      </c>
      <c r="K55" s="4">
        <v>93.7</v>
      </c>
      <c r="L55" s="4">
        <v>92</v>
      </c>
      <c r="M55" s="4"/>
      <c r="N55" s="3">
        <f t="shared" si="1"/>
        <v>92.68</v>
      </c>
      <c r="O55" s="8">
        <v>23</v>
      </c>
    </row>
    <row r="56" spans="1:15" ht="16.5" customHeight="1">
      <c r="A56" s="7">
        <v>53</v>
      </c>
      <c r="B56" s="6" t="s">
        <v>14</v>
      </c>
      <c r="C56" s="6" t="str">
        <f>"1011201607230934524743"</f>
        <v>1011201607230934524743</v>
      </c>
      <c r="D56" s="6" t="s">
        <v>94</v>
      </c>
      <c r="E56" s="6" t="s">
        <v>15</v>
      </c>
      <c r="F56" s="6" t="str">
        <f>"341227199312010445"</f>
        <v>341227199312010445</v>
      </c>
      <c r="G56" s="6" t="s">
        <v>16</v>
      </c>
      <c r="H56" s="6" t="s">
        <v>18</v>
      </c>
      <c r="I56" s="6" t="s">
        <v>17</v>
      </c>
      <c r="J56" s="6">
        <v>2016183110</v>
      </c>
      <c r="K56" s="4">
        <v>90.2</v>
      </c>
      <c r="L56" s="4">
        <v>94.2</v>
      </c>
      <c r="M56" s="4"/>
      <c r="N56" s="3">
        <f t="shared" si="1"/>
        <v>92.60000000000001</v>
      </c>
      <c r="O56" s="8">
        <v>24</v>
      </c>
    </row>
    <row r="57" spans="1:15" ht="16.5" customHeight="1">
      <c r="A57" s="7">
        <v>54</v>
      </c>
      <c r="B57" s="6" t="s">
        <v>14</v>
      </c>
      <c r="C57" s="6" t="str">
        <f>"1011201607231045484879"</f>
        <v>1011201607231045484879</v>
      </c>
      <c r="D57" s="6" t="s">
        <v>115</v>
      </c>
      <c r="E57" s="6" t="s">
        <v>15</v>
      </c>
      <c r="F57" s="6" t="str">
        <f>"341623199306172620"</f>
        <v>341623199306172620</v>
      </c>
      <c r="G57" s="6" t="s">
        <v>11</v>
      </c>
      <c r="H57" s="6" t="s">
        <v>116</v>
      </c>
      <c r="I57" s="6" t="s">
        <v>17</v>
      </c>
      <c r="J57" s="6">
        <v>2016183310</v>
      </c>
      <c r="K57" s="4">
        <v>105.5</v>
      </c>
      <c r="L57" s="4">
        <v>83.8</v>
      </c>
      <c r="M57" s="4"/>
      <c r="N57" s="3">
        <f t="shared" si="1"/>
        <v>92.47999999999999</v>
      </c>
      <c r="O57" s="8">
        <v>25</v>
      </c>
    </row>
    <row r="58" spans="1:15" ht="16.5" customHeight="1">
      <c r="A58" s="7">
        <v>55</v>
      </c>
      <c r="B58" s="6" t="s">
        <v>14</v>
      </c>
      <c r="C58" s="6" t="str">
        <f>"1011201607231357135102"</f>
        <v>1011201607231357135102</v>
      </c>
      <c r="D58" s="6" t="s">
        <v>147</v>
      </c>
      <c r="E58" s="6" t="s">
        <v>15</v>
      </c>
      <c r="F58" s="6" t="str">
        <f>"341227199512052340"</f>
        <v>341227199512052340</v>
      </c>
      <c r="G58" s="6" t="s">
        <v>16</v>
      </c>
      <c r="H58" s="6" t="s">
        <v>54</v>
      </c>
      <c r="I58" s="6" t="s">
        <v>17</v>
      </c>
      <c r="J58" s="6">
        <v>2016183830</v>
      </c>
      <c r="K58" s="4">
        <v>102.1</v>
      </c>
      <c r="L58" s="4">
        <v>85.8</v>
      </c>
      <c r="M58" s="4"/>
      <c r="N58" s="3">
        <f t="shared" si="1"/>
        <v>92.32</v>
      </c>
      <c r="O58" s="8">
        <v>26</v>
      </c>
    </row>
    <row r="59" spans="1:15" ht="16.5" customHeight="1">
      <c r="A59" s="7">
        <v>56</v>
      </c>
      <c r="B59" s="6" t="s">
        <v>14</v>
      </c>
      <c r="C59" s="6" t="str">
        <f>"1011201607232029505381"</f>
        <v>1011201607232029505381</v>
      </c>
      <c r="D59" s="6" t="s">
        <v>172</v>
      </c>
      <c r="E59" s="6" t="s">
        <v>15</v>
      </c>
      <c r="F59" s="6" t="str">
        <f>"341203199405012342"</f>
        <v>341203199405012342</v>
      </c>
      <c r="G59" s="6" t="s">
        <v>16</v>
      </c>
      <c r="H59" s="6" t="s">
        <v>173</v>
      </c>
      <c r="I59" s="6" t="s">
        <v>17</v>
      </c>
      <c r="J59" s="6">
        <v>2016180917</v>
      </c>
      <c r="K59" s="4">
        <v>95.2</v>
      </c>
      <c r="L59" s="4">
        <v>89.8</v>
      </c>
      <c r="M59" s="4"/>
      <c r="N59" s="3">
        <f t="shared" si="1"/>
        <v>91.96000000000001</v>
      </c>
      <c r="O59" s="8">
        <v>27</v>
      </c>
    </row>
    <row r="60" spans="1:15" ht="16.5" customHeight="1">
      <c r="A60" s="7">
        <v>57</v>
      </c>
      <c r="B60" s="6" t="s">
        <v>14</v>
      </c>
      <c r="C60" s="6" t="str">
        <f>"1011201607231343555083"</f>
        <v>1011201607231343555083</v>
      </c>
      <c r="D60" s="6" t="s">
        <v>138</v>
      </c>
      <c r="E60" s="6" t="s">
        <v>15</v>
      </c>
      <c r="F60" s="6" t="str">
        <f>"341227199501104109"</f>
        <v>341227199501104109</v>
      </c>
      <c r="G60" s="6" t="s">
        <v>16</v>
      </c>
      <c r="H60" s="6" t="s">
        <v>34</v>
      </c>
      <c r="I60" s="6" t="s">
        <v>32</v>
      </c>
      <c r="J60" s="6">
        <v>2016182218</v>
      </c>
      <c r="K60" s="4">
        <v>94</v>
      </c>
      <c r="L60" s="4">
        <v>90.6</v>
      </c>
      <c r="M60" s="4"/>
      <c r="N60" s="3">
        <f t="shared" si="1"/>
        <v>91.96</v>
      </c>
      <c r="O60" s="8">
        <v>28</v>
      </c>
    </row>
    <row r="61" spans="1:15" ht="16.5" customHeight="1">
      <c r="A61" s="7">
        <v>58</v>
      </c>
      <c r="B61" s="6" t="s">
        <v>14</v>
      </c>
      <c r="C61" s="6" t="str">
        <f>"1011201607241649325738"</f>
        <v>1011201607241649325738</v>
      </c>
      <c r="D61" s="6" t="s">
        <v>36</v>
      </c>
      <c r="E61" s="6" t="s">
        <v>15</v>
      </c>
      <c r="F61" s="6" t="str">
        <f>"510822198601137028"</f>
        <v>510822198601137028</v>
      </c>
      <c r="G61" s="6" t="s">
        <v>11</v>
      </c>
      <c r="H61" s="6" t="s">
        <v>67</v>
      </c>
      <c r="I61" s="6" t="s">
        <v>17</v>
      </c>
      <c r="J61" s="6">
        <v>2016184317</v>
      </c>
      <c r="K61" s="4">
        <v>99</v>
      </c>
      <c r="L61" s="4">
        <v>87.2</v>
      </c>
      <c r="M61" s="4"/>
      <c r="N61" s="3">
        <f t="shared" si="1"/>
        <v>91.92</v>
      </c>
      <c r="O61" s="8">
        <v>29</v>
      </c>
    </row>
    <row r="62" spans="1:15" ht="16.5" customHeight="1">
      <c r="A62" s="7">
        <v>59</v>
      </c>
      <c r="B62" s="6" t="s">
        <v>14</v>
      </c>
      <c r="C62" s="6" t="str">
        <f>"1011201607230817534536"</f>
        <v>1011201607230817534536</v>
      </c>
      <c r="D62" s="6" t="s">
        <v>53</v>
      </c>
      <c r="E62" s="6" t="s">
        <v>15</v>
      </c>
      <c r="F62" s="6" t="str">
        <f>"341223199502241126"</f>
        <v>341223199502241126</v>
      </c>
      <c r="G62" s="6" t="s">
        <v>16</v>
      </c>
      <c r="H62" s="6" t="s">
        <v>33</v>
      </c>
      <c r="I62" s="6" t="s">
        <v>29</v>
      </c>
      <c r="J62" s="6">
        <v>2016182427</v>
      </c>
      <c r="K62" s="4">
        <v>98.5</v>
      </c>
      <c r="L62" s="4">
        <v>87.2</v>
      </c>
      <c r="M62" s="4"/>
      <c r="N62" s="3">
        <f t="shared" si="1"/>
        <v>91.72</v>
      </c>
      <c r="O62" s="8">
        <v>30</v>
      </c>
    </row>
    <row r="63" spans="1:15" ht="16.5" customHeight="1">
      <c r="A63" s="7">
        <v>60</v>
      </c>
      <c r="B63" s="6" t="s">
        <v>14</v>
      </c>
      <c r="C63" s="6" t="str">
        <f>"1011201607231343585084"</f>
        <v>1011201607231343585084</v>
      </c>
      <c r="D63" s="6" t="s">
        <v>89</v>
      </c>
      <c r="E63" s="6" t="s">
        <v>15</v>
      </c>
      <c r="F63" s="6" t="str">
        <f>"34162319960509102X"</f>
        <v>34162319960509102X</v>
      </c>
      <c r="G63" s="6" t="s">
        <v>16</v>
      </c>
      <c r="H63" s="6" t="s">
        <v>34</v>
      </c>
      <c r="I63" s="6" t="s">
        <v>17</v>
      </c>
      <c r="J63" s="6">
        <v>2016182428</v>
      </c>
      <c r="K63" s="4">
        <v>101</v>
      </c>
      <c r="L63" s="4">
        <v>85.4</v>
      </c>
      <c r="M63" s="4"/>
      <c r="N63" s="3">
        <f aca="true" t="shared" si="2" ref="N63:N94">K63*0.4+L63*0.6</f>
        <v>91.64000000000001</v>
      </c>
      <c r="O63" s="8">
        <v>31</v>
      </c>
    </row>
    <row r="64" spans="1:15" ht="16.5" customHeight="1">
      <c r="A64" s="7">
        <v>61</v>
      </c>
      <c r="B64" s="6" t="s">
        <v>14</v>
      </c>
      <c r="C64" s="6" t="str">
        <f>"1011201607232140445419"</f>
        <v>1011201607232140445419</v>
      </c>
      <c r="D64" s="6" t="s">
        <v>178</v>
      </c>
      <c r="E64" s="6" t="s">
        <v>15</v>
      </c>
      <c r="F64" s="6" t="str">
        <f>"341227199407017025"</f>
        <v>341227199407017025</v>
      </c>
      <c r="G64" s="6" t="s">
        <v>16</v>
      </c>
      <c r="H64" s="6" t="s">
        <v>22</v>
      </c>
      <c r="I64" s="6" t="s">
        <v>17</v>
      </c>
      <c r="J64" s="6">
        <v>2016181006</v>
      </c>
      <c r="K64" s="4">
        <v>94.6</v>
      </c>
      <c r="L64" s="4">
        <v>89.4</v>
      </c>
      <c r="M64" s="4"/>
      <c r="N64" s="3">
        <f t="shared" si="2"/>
        <v>91.47999999999999</v>
      </c>
      <c r="O64" s="8">
        <v>32</v>
      </c>
    </row>
    <row r="65" spans="1:15" ht="16.5" customHeight="1">
      <c r="A65" s="7">
        <v>62</v>
      </c>
      <c r="B65" s="6" t="s">
        <v>14</v>
      </c>
      <c r="C65" s="6" t="str">
        <f>"1011201607230826404559"</f>
        <v>1011201607230826404559</v>
      </c>
      <c r="D65" s="6" t="s">
        <v>42</v>
      </c>
      <c r="E65" s="6" t="s">
        <v>15</v>
      </c>
      <c r="F65" s="6" t="str">
        <f>"341226199608240825"</f>
        <v>341226199608240825</v>
      </c>
      <c r="G65" s="6" t="s">
        <v>16</v>
      </c>
      <c r="H65" s="6" t="s">
        <v>22</v>
      </c>
      <c r="I65" s="6" t="s">
        <v>17</v>
      </c>
      <c r="J65" s="6">
        <v>2016183417</v>
      </c>
      <c r="K65" s="4">
        <v>102.80000000000001</v>
      </c>
      <c r="L65" s="4">
        <v>83.2</v>
      </c>
      <c r="M65" s="4"/>
      <c r="N65" s="3">
        <f t="shared" si="2"/>
        <v>91.04</v>
      </c>
      <c r="O65" s="8">
        <v>33</v>
      </c>
    </row>
    <row r="66" spans="1:15" ht="16.5" customHeight="1">
      <c r="A66" s="7">
        <v>63</v>
      </c>
      <c r="B66" s="6" t="s">
        <v>14</v>
      </c>
      <c r="C66" s="6" t="str">
        <f>"1011201607230925514718"</f>
        <v>1011201607230925514718</v>
      </c>
      <c r="D66" s="6" t="s">
        <v>78</v>
      </c>
      <c r="E66" s="6" t="s">
        <v>15</v>
      </c>
      <c r="F66" s="6" t="str">
        <f>"341227198807035682"</f>
        <v>341227198807035682</v>
      </c>
      <c r="G66" s="6" t="s">
        <v>11</v>
      </c>
      <c r="H66" s="6" t="s">
        <v>55</v>
      </c>
      <c r="I66" s="6" t="s">
        <v>79</v>
      </c>
      <c r="J66" s="6">
        <v>2016183501</v>
      </c>
      <c r="K66" s="4">
        <v>105.80000000000001</v>
      </c>
      <c r="L66" s="4">
        <v>81.2</v>
      </c>
      <c r="M66" s="4"/>
      <c r="N66" s="3">
        <f t="shared" si="2"/>
        <v>91.04</v>
      </c>
      <c r="O66" s="8">
        <v>34</v>
      </c>
    </row>
    <row r="67" spans="1:15" ht="16.5" customHeight="1">
      <c r="A67" s="7">
        <v>64</v>
      </c>
      <c r="B67" s="6" t="s">
        <v>14</v>
      </c>
      <c r="C67" s="6" t="str">
        <f>"1011201607252145106200"</f>
        <v>1011201607252145106200</v>
      </c>
      <c r="D67" s="6" t="s">
        <v>230</v>
      </c>
      <c r="E67" s="6" t="s">
        <v>15</v>
      </c>
      <c r="F67" s="6" t="str">
        <f>"341221199103258569"</f>
        <v>341221199103258569</v>
      </c>
      <c r="G67" s="6" t="s">
        <v>16</v>
      </c>
      <c r="H67" s="6" t="s">
        <v>20</v>
      </c>
      <c r="I67" s="6" t="s">
        <v>17</v>
      </c>
      <c r="J67" s="6">
        <v>2016180914</v>
      </c>
      <c r="K67" s="4">
        <v>108.2</v>
      </c>
      <c r="L67" s="4">
        <v>79.6</v>
      </c>
      <c r="M67" s="4"/>
      <c r="N67" s="3">
        <f t="shared" si="2"/>
        <v>91.03999999999999</v>
      </c>
      <c r="O67" s="8">
        <v>35</v>
      </c>
    </row>
    <row r="68" spans="1:15" ht="16.5" customHeight="1">
      <c r="A68" s="7">
        <v>65</v>
      </c>
      <c r="B68" s="6" t="s">
        <v>14</v>
      </c>
      <c r="C68" s="6" t="str">
        <f>"1011201607262347536485"</f>
        <v>1011201607262347536485</v>
      </c>
      <c r="D68" s="6" t="s">
        <v>249</v>
      </c>
      <c r="E68" s="6" t="s">
        <v>15</v>
      </c>
      <c r="F68" s="6" t="str">
        <f>"341203199407091929"</f>
        <v>341203199407091929</v>
      </c>
      <c r="G68" s="6" t="s">
        <v>16</v>
      </c>
      <c r="H68" s="6" t="s">
        <v>22</v>
      </c>
      <c r="I68" s="6" t="s">
        <v>212</v>
      </c>
      <c r="J68" s="6">
        <v>2016182823</v>
      </c>
      <c r="K68" s="4">
        <v>108.7</v>
      </c>
      <c r="L68" s="4">
        <v>79.2</v>
      </c>
      <c r="M68" s="4"/>
      <c r="N68" s="3">
        <f t="shared" si="2"/>
        <v>91</v>
      </c>
      <c r="O68" s="8">
        <v>36</v>
      </c>
    </row>
    <row r="69" spans="1:15" ht="16.5" customHeight="1">
      <c r="A69" s="7">
        <v>66</v>
      </c>
      <c r="B69" s="6" t="s">
        <v>14</v>
      </c>
      <c r="C69" s="6" t="str">
        <f>"1011201607230825384558"</f>
        <v>1011201607230825384558</v>
      </c>
      <c r="D69" s="6" t="s">
        <v>37</v>
      </c>
      <c r="E69" s="6" t="s">
        <v>15</v>
      </c>
      <c r="F69" s="6" t="str">
        <f>"341203199301233124"</f>
        <v>341203199301233124</v>
      </c>
      <c r="G69" s="6" t="s">
        <v>16</v>
      </c>
      <c r="H69" s="6" t="s">
        <v>38</v>
      </c>
      <c r="I69" s="6" t="s">
        <v>17</v>
      </c>
      <c r="J69" s="6">
        <v>2016181721</v>
      </c>
      <c r="K69" s="4">
        <v>100.6</v>
      </c>
      <c r="L69" s="4">
        <v>83.6</v>
      </c>
      <c r="M69" s="4"/>
      <c r="N69" s="3">
        <f t="shared" si="2"/>
        <v>90.4</v>
      </c>
      <c r="O69" s="8">
        <v>37</v>
      </c>
    </row>
    <row r="70" spans="1:15" ht="16.5" customHeight="1">
      <c r="A70" s="7">
        <v>67</v>
      </c>
      <c r="B70" s="6" t="s">
        <v>14</v>
      </c>
      <c r="C70" s="6" t="str">
        <f>"1011201607231118334942"</f>
        <v>1011201607231118334942</v>
      </c>
      <c r="D70" s="6" t="s">
        <v>148</v>
      </c>
      <c r="E70" s="6" t="s">
        <v>15</v>
      </c>
      <c r="F70" s="6" t="str">
        <f>"341224199612134125"</f>
        <v>341224199612134125</v>
      </c>
      <c r="G70" s="6" t="s">
        <v>16</v>
      </c>
      <c r="H70" s="6" t="s">
        <v>22</v>
      </c>
      <c r="I70" s="6" t="s">
        <v>17</v>
      </c>
      <c r="J70" s="6">
        <v>2016180206</v>
      </c>
      <c r="K70" s="4">
        <v>94.7</v>
      </c>
      <c r="L70" s="4">
        <v>87.4</v>
      </c>
      <c r="M70" s="4"/>
      <c r="N70" s="3">
        <f t="shared" si="2"/>
        <v>90.32000000000001</v>
      </c>
      <c r="O70" s="8">
        <v>38</v>
      </c>
    </row>
    <row r="71" spans="1:15" ht="16.5" customHeight="1">
      <c r="A71" s="7">
        <v>68</v>
      </c>
      <c r="B71" s="6" t="s">
        <v>14</v>
      </c>
      <c r="C71" s="6" t="str">
        <f>"1011201607230831304573"</f>
        <v>1011201607230831304573</v>
      </c>
      <c r="D71" s="6" t="s">
        <v>59</v>
      </c>
      <c r="E71" s="6" t="s">
        <v>15</v>
      </c>
      <c r="F71" s="6" t="str">
        <f>"341227199702098323"</f>
        <v>341227199702098323</v>
      </c>
      <c r="G71" s="6" t="s">
        <v>16</v>
      </c>
      <c r="H71" s="6" t="s">
        <v>33</v>
      </c>
      <c r="I71" s="6" t="s">
        <v>17</v>
      </c>
      <c r="J71" s="6">
        <v>2016182307</v>
      </c>
      <c r="K71" s="4">
        <v>91.4</v>
      </c>
      <c r="L71" s="4">
        <v>89.6</v>
      </c>
      <c r="M71" s="4"/>
      <c r="N71" s="3">
        <f t="shared" si="2"/>
        <v>90.32</v>
      </c>
      <c r="O71" s="8">
        <v>39</v>
      </c>
    </row>
    <row r="72" spans="1:15" ht="16.5" customHeight="1">
      <c r="A72" s="7">
        <v>69</v>
      </c>
      <c r="B72" s="6" t="s">
        <v>14</v>
      </c>
      <c r="C72" s="6" t="str">
        <f>"1011201607241100265597"</f>
        <v>1011201607241100265597</v>
      </c>
      <c r="D72" s="6" t="s">
        <v>211</v>
      </c>
      <c r="E72" s="6" t="s">
        <v>15</v>
      </c>
      <c r="F72" s="6" t="str">
        <f>"341224199312090263"</f>
        <v>341224199312090263</v>
      </c>
      <c r="G72" s="6" t="s">
        <v>16</v>
      </c>
      <c r="H72" s="6" t="s">
        <v>34</v>
      </c>
      <c r="I72" s="6" t="s">
        <v>17</v>
      </c>
      <c r="J72" s="6">
        <v>2016183909</v>
      </c>
      <c r="K72" s="4">
        <v>96.2</v>
      </c>
      <c r="L72" s="4">
        <v>86.2</v>
      </c>
      <c r="M72" s="4"/>
      <c r="N72" s="3">
        <f t="shared" si="2"/>
        <v>90.2</v>
      </c>
      <c r="O72" s="8">
        <v>40</v>
      </c>
    </row>
    <row r="73" spans="1:15" ht="16.5" customHeight="1">
      <c r="A73" s="7">
        <v>70</v>
      </c>
      <c r="B73" s="6" t="s">
        <v>14</v>
      </c>
      <c r="C73" s="6" t="str">
        <f>"1011201607261947576443"</f>
        <v>1011201607261947576443</v>
      </c>
      <c r="D73" s="6" t="s">
        <v>244</v>
      </c>
      <c r="E73" s="6" t="s">
        <v>15</v>
      </c>
      <c r="F73" s="6" t="str">
        <f>"341623199406015665"</f>
        <v>341623199406015665</v>
      </c>
      <c r="G73" s="6" t="s">
        <v>11</v>
      </c>
      <c r="H73" s="6" t="s">
        <v>39</v>
      </c>
      <c r="I73" s="6" t="s">
        <v>17</v>
      </c>
      <c r="J73" s="6">
        <v>2016184415</v>
      </c>
      <c r="K73" s="4">
        <v>99.1</v>
      </c>
      <c r="L73" s="4">
        <v>84</v>
      </c>
      <c r="M73" s="4"/>
      <c r="N73" s="3">
        <f t="shared" si="2"/>
        <v>90.03999999999999</v>
      </c>
      <c r="O73" s="8">
        <v>41</v>
      </c>
    </row>
    <row r="74" spans="1:15" ht="16.5" customHeight="1">
      <c r="A74" s="7">
        <v>71</v>
      </c>
      <c r="B74" s="6" t="s">
        <v>14</v>
      </c>
      <c r="C74" s="6" t="str">
        <f>"1011201607261142116303"</f>
        <v>1011201607261142116303</v>
      </c>
      <c r="D74" s="6" t="s">
        <v>234</v>
      </c>
      <c r="E74" s="6" t="s">
        <v>15</v>
      </c>
      <c r="F74" s="6" t="str">
        <f>"341621199305254322"</f>
        <v>341621199305254322</v>
      </c>
      <c r="G74" s="6" t="s">
        <v>16</v>
      </c>
      <c r="H74" s="6" t="s">
        <v>35</v>
      </c>
      <c r="I74" s="6" t="s">
        <v>17</v>
      </c>
      <c r="J74" s="6">
        <v>2016182325</v>
      </c>
      <c r="K74" s="4">
        <v>90.2</v>
      </c>
      <c r="L74" s="4">
        <v>89.8</v>
      </c>
      <c r="M74" s="4"/>
      <c r="N74" s="3">
        <f t="shared" si="2"/>
        <v>89.96000000000001</v>
      </c>
      <c r="O74" s="8">
        <v>42</v>
      </c>
    </row>
    <row r="75" spans="1:15" ht="16.5" customHeight="1">
      <c r="A75" s="7">
        <v>72</v>
      </c>
      <c r="B75" s="6" t="s">
        <v>14</v>
      </c>
      <c r="C75" s="6" t="str">
        <f>"1011201607230828444566"</f>
        <v>1011201607230828444566</v>
      </c>
      <c r="D75" s="6" t="s">
        <v>52</v>
      </c>
      <c r="E75" s="6" t="s">
        <v>15</v>
      </c>
      <c r="F75" s="6" t="str">
        <f>"341203199501102241"</f>
        <v>341203199501102241</v>
      </c>
      <c r="G75" s="6" t="s">
        <v>16</v>
      </c>
      <c r="H75" s="6" t="s">
        <v>35</v>
      </c>
      <c r="I75" s="6" t="s">
        <v>17</v>
      </c>
      <c r="J75" s="6">
        <v>2016181903</v>
      </c>
      <c r="K75" s="4">
        <v>85.3</v>
      </c>
      <c r="L75" s="4">
        <v>93</v>
      </c>
      <c r="M75" s="4"/>
      <c r="N75" s="3">
        <f t="shared" si="2"/>
        <v>89.91999999999999</v>
      </c>
      <c r="O75" s="8">
        <v>43</v>
      </c>
    </row>
    <row r="76" spans="1:15" ht="16.5" customHeight="1">
      <c r="A76" s="7">
        <v>73</v>
      </c>
      <c r="B76" s="6" t="s">
        <v>14</v>
      </c>
      <c r="C76" s="6" t="str">
        <f>"1011201607230939124753"</f>
        <v>1011201607230939124753</v>
      </c>
      <c r="D76" s="6" t="s">
        <v>189</v>
      </c>
      <c r="E76" s="6" t="s">
        <v>15</v>
      </c>
      <c r="F76" s="6" t="str">
        <f>"341623199212171029"</f>
        <v>341623199212171029</v>
      </c>
      <c r="G76" s="6" t="s">
        <v>24</v>
      </c>
      <c r="H76" s="6" t="s">
        <v>190</v>
      </c>
      <c r="I76" s="6" t="s">
        <v>191</v>
      </c>
      <c r="J76" s="6">
        <v>2016183002</v>
      </c>
      <c r="K76" s="4">
        <v>97.5</v>
      </c>
      <c r="L76" s="4">
        <v>84.8</v>
      </c>
      <c r="M76" s="4"/>
      <c r="N76" s="3">
        <f t="shared" si="2"/>
        <v>89.88</v>
      </c>
      <c r="O76" s="8">
        <v>44</v>
      </c>
    </row>
    <row r="77" spans="1:15" ht="16.5" customHeight="1">
      <c r="A77" s="7">
        <v>74</v>
      </c>
      <c r="B77" s="6" t="s">
        <v>14</v>
      </c>
      <c r="C77" s="6" t="str">
        <f>"1011201607231029354849"</f>
        <v>1011201607231029354849</v>
      </c>
      <c r="D77" s="6" t="s">
        <v>105</v>
      </c>
      <c r="E77" s="6" t="s">
        <v>15</v>
      </c>
      <c r="F77" s="6" t="str">
        <f>"341226199505150325"</f>
        <v>341226199505150325</v>
      </c>
      <c r="G77" s="6" t="s">
        <v>16</v>
      </c>
      <c r="H77" s="6" t="s">
        <v>31</v>
      </c>
      <c r="I77" s="6" t="s">
        <v>17</v>
      </c>
      <c r="J77" s="6">
        <v>2016183527</v>
      </c>
      <c r="K77" s="4">
        <v>92.9</v>
      </c>
      <c r="L77" s="4">
        <v>87.6</v>
      </c>
      <c r="M77" s="4"/>
      <c r="N77" s="3">
        <f t="shared" si="2"/>
        <v>89.72</v>
      </c>
      <c r="O77" s="8">
        <v>45</v>
      </c>
    </row>
    <row r="78" spans="1:15" ht="16.5" customHeight="1">
      <c r="A78" s="7">
        <v>75</v>
      </c>
      <c r="B78" s="6" t="s">
        <v>14</v>
      </c>
      <c r="C78" s="6" t="str">
        <f>"1011201607230901224643"</f>
        <v>1011201607230901224643</v>
      </c>
      <c r="D78" s="6" t="s">
        <v>153</v>
      </c>
      <c r="E78" s="6" t="s">
        <v>15</v>
      </c>
      <c r="F78" s="6" t="str">
        <f>"341226199503271545"</f>
        <v>341226199503271545</v>
      </c>
      <c r="G78" s="6" t="s">
        <v>16</v>
      </c>
      <c r="H78" s="6" t="s">
        <v>22</v>
      </c>
      <c r="I78" s="6" t="s">
        <v>17</v>
      </c>
      <c r="J78" s="6">
        <v>2016182410</v>
      </c>
      <c r="K78" s="4">
        <v>96.6</v>
      </c>
      <c r="L78" s="4">
        <v>84.8</v>
      </c>
      <c r="M78" s="4"/>
      <c r="N78" s="3">
        <f t="shared" si="2"/>
        <v>89.52</v>
      </c>
      <c r="O78" s="8">
        <v>46</v>
      </c>
    </row>
    <row r="79" spans="1:15" ht="16.5" customHeight="1">
      <c r="A79" s="7">
        <v>76</v>
      </c>
      <c r="B79" s="6" t="s">
        <v>14</v>
      </c>
      <c r="C79" s="6" t="str">
        <f>"1011201607230805574486"</f>
        <v>1011201607230805574486</v>
      </c>
      <c r="D79" s="6" t="s">
        <v>26</v>
      </c>
      <c r="E79" s="6" t="s">
        <v>15</v>
      </c>
      <c r="F79" s="6" t="str">
        <f>"341223199303021948"</f>
        <v>341223199303021948</v>
      </c>
      <c r="G79" s="6" t="s">
        <v>16</v>
      </c>
      <c r="H79" s="6" t="s">
        <v>27</v>
      </c>
      <c r="I79" s="6" t="s">
        <v>17</v>
      </c>
      <c r="J79" s="6">
        <v>2016184601</v>
      </c>
      <c r="K79" s="4">
        <v>87.80000000000001</v>
      </c>
      <c r="L79" s="4">
        <v>90.4</v>
      </c>
      <c r="M79" s="4"/>
      <c r="N79" s="3">
        <f t="shared" si="2"/>
        <v>89.36000000000001</v>
      </c>
      <c r="O79" s="8">
        <v>47</v>
      </c>
    </row>
    <row r="80" spans="1:15" ht="16.5" customHeight="1">
      <c r="A80" s="7">
        <v>77</v>
      </c>
      <c r="B80" s="6" t="s">
        <v>14</v>
      </c>
      <c r="C80" s="6" t="str">
        <f>"1011201607230956224783"</f>
        <v>1011201607230956224783</v>
      </c>
      <c r="D80" s="6" t="s">
        <v>91</v>
      </c>
      <c r="E80" s="6" t="s">
        <v>15</v>
      </c>
      <c r="F80" s="6" t="str">
        <f>"341227199305180745"</f>
        <v>341227199305180745</v>
      </c>
      <c r="G80" s="6" t="s">
        <v>16</v>
      </c>
      <c r="H80" s="6" t="s">
        <v>30</v>
      </c>
      <c r="I80" s="6" t="s">
        <v>17</v>
      </c>
      <c r="J80" s="6">
        <v>2016180625</v>
      </c>
      <c r="K80" s="4">
        <v>93.4</v>
      </c>
      <c r="L80" s="4">
        <v>86.4</v>
      </c>
      <c r="M80" s="4"/>
      <c r="N80" s="3">
        <f t="shared" si="2"/>
        <v>89.20000000000002</v>
      </c>
      <c r="O80" s="8">
        <v>48</v>
      </c>
    </row>
    <row r="81" spans="1:15" ht="16.5" customHeight="1">
      <c r="A81" s="7">
        <v>78</v>
      </c>
      <c r="B81" s="6" t="s">
        <v>14</v>
      </c>
      <c r="C81" s="6" t="str">
        <f>"1011201607230953384778"</f>
        <v>1011201607230953384778</v>
      </c>
      <c r="D81" s="6" t="s">
        <v>99</v>
      </c>
      <c r="E81" s="6" t="s">
        <v>15</v>
      </c>
      <c r="F81" s="6" t="str">
        <f>"341227199109060746"</f>
        <v>341227199109060746</v>
      </c>
      <c r="G81" s="6" t="s">
        <v>24</v>
      </c>
      <c r="H81" s="6" t="s">
        <v>100</v>
      </c>
      <c r="I81" s="6" t="s">
        <v>32</v>
      </c>
      <c r="J81" s="6">
        <v>2016183729</v>
      </c>
      <c r="K81" s="4">
        <v>93.1</v>
      </c>
      <c r="L81" s="4">
        <v>86.4</v>
      </c>
      <c r="M81" s="4"/>
      <c r="N81" s="3">
        <f t="shared" si="2"/>
        <v>89.08000000000001</v>
      </c>
      <c r="O81" s="8">
        <v>49</v>
      </c>
    </row>
    <row r="82" spans="1:15" ht="16.5" customHeight="1">
      <c r="A82" s="7">
        <v>79</v>
      </c>
      <c r="B82" s="6" t="s">
        <v>14</v>
      </c>
      <c r="C82" s="6" t="str">
        <f>"1011201607231312155055"</f>
        <v>1011201607231312155055</v>
      </c>
      <c r="D82" s="6" t="s">
        <v>134</v>
      </c>
      <c r="E82" s="6" t="s">
        <v>15</v>
      </c>
      <c r="F82" s="6" t="str">
        <f>"341227199408122628"</f>
        <v>341227199408122628</v>
      </c>
      <c r="G82" s="6" t="s">
        <v>16</v>
      </c>
      <c r="H82" s="6" t="s">
        <v>22</v>
      </c>
      <c r="I82" s="6" t="s">
        <v>17</v>
      </c>
      <c r="J82" s="6">
        <v>2016185002</v>
      </c>
      <c r="K82" s="4">
        <v>92.3</v>
      </c>
      <c r="L82" s="4">
        <v>86.8</v>
      </c>
      <c r="M82" s="4"/>
      <c r="N82" s="3">
        <f t="shared" si="2"/>
        <v>89</v>
      </c>
      <c r="O82" s="8">
        <v>50</v>
      </c>
    </row>
    <row r="83" spans="1:15" ht="16.5" customHeight="1">
      <c r="A83" s="7">
        <v>80</v>
      </c>
      <c r="B83" s="6" t="s">
        <v>14</v>
      </c>
      <c r="C83" s="6" t="str">
        <f>"1011201607251540096080"</f>
        <v>1011201607251540096080</v>
      </c>
      <c r="D83" s="6" t="s">
        <v>222</v>
      </c>
      <c r="E83" s="6" t="s">
        <v>15</v>
      </c>
      <c r="F83" s="6" t="str">
        <f>"34122319931028114X"</f>
        <v>34122319931028114X</v>
      </c>
      <c r="G83" s="6" t="s">
        <v>16</v>
      </c>
      <c r="H83" s="6" t="s">
        <v>126</v>
      </c>
      <c r="I83" s="6" t="s">
        <v>17</v>
      </c>
      <c r="J83" s="6">
        <v>2016182708</v>
      </c>
      <c r="K83" s="4">
        <v>85.9</v>
      </c>
      <c r="L83" s="4">
        <v>90.8</v>
      </c>
      <c r="M83" s="4"/>
      <c r="N83" s="3">
        <f t="shared" si="2"/>
        <v>88.84</v>
      </c>
      <c r="O83" s="8">
        <v>51</v>
      </c>
    </row>
    <row r="84" spans="1:15" ht="16.5" customHeight="1">
      <c r="A84" s="7">
        <v>81</v>
      </c>
      <c r="B84" s="6" t="s">
        <v>14</v>
      </c>
      <c r="C84" s="6" t="str">
        <f>"1011201607241055325593"</f>
        <v>1011201607241055325593</v>
      </c>
      <c r="D84" s="6" t="s">
        <v>192</v>
      </c>
      <c r="E84" s="6" t="s">
        <v>15</v>
      </c>
      <c r="F84" s="6" t="str">
        <f>"341623199410197625"</f>
        <v>341623199410197625</v>
      </c>
      <c r="G84" s="6" t="s">
        <v>16</v>
      </c>
      <c r="H84" s="6" t="s">
        <v>35</v>
      </c>
      <c r="I84" s="6" t="s">
        <v>17</v>
      </c>
      <c r="J84" s="6">
        <v>2016181602</v>
      </c>
      <c r="K84" s="4">
        <v>94.5</v>
      </c>
      <c r="L84" s="4">
        <v>85</v>
      </c>
      <c r="M84" s="4"/>
      <c r="N84" s="3">
        <f t="shared" si="2"/>
        <v>88.80000000000001</v>
      </c>
      <c r="O84" s="8">
        <v>52</v>
      </c>
    </row>
    <row r="85" spans="1:15" ht="16.5" customHeight="1">
      <c r="A85" s="7">
        <v>82</v>
      </c>
      <c r="B85" s="6" t="s">
        <v>14</v>
      </c>
      <c r="C85" s="6" t="str">
        <f>"1011201607231105334921"</f>
        <v>1011201607231105334921</v>
      </c>
      <c r="D85" s="6" t="s">
        <v>213</v>
      </c>
      <c r="E85" s="6" t="s">
        <v>15</v>
      </c>
      <c r="F85" s="6" t="str">
        <f>"420526198707110226"</f>
        <v>420526198707110226</v>
      </c>
      <c r="G85" s="6" t="s">
        <v>16</v>
      </c>
      <c r="H85" s="6" t="s">
        <v>214</v>
      </c>
      <c r="I85" s="6" t="s">
        <v>17</v>
      </c>
      <c r="J85" s="6">
        <v>2016181724</v>
      </c>
      <c r="K85" s="4">
        <v>103.2</v>
      </c>
      <c r="L85" s="4">
        <v>79.2</v>
      </c>
      <c r="M85" s="4"/>
      <c r="N85" s="3">
        <f t="shared" si="2"/>
        <v>88.80000000000001</v>
      </c>
      <c r="O85" s="8">
        <v>53</v>
      </c>
    </row>
    <row r="86" spans="1:15" ht="16.5" customHeight="1">
      <c r="A86" s="7">
        <v>83</v>
      </c>
      <c r="B86" s="6" t="s">
        <v>14</v>
      </c>
      <c r="C86" s="6" t="str">
        <f>"1011201607231642315245"</f>
        <v>1011201607231642315245</v>
      </c>
      <c r="D86" s="6" t="s">
        <v>158</v>
      </c>
      <c r="E86" s="6" t="s">
        <v>15</v>
      </c>
      <c r="F86" s="6" t="str">
        <f>"342426198809080028"</f>
        <v>342426198809080028</v>
      </c>
      <c r="G86" s="6" t="s">
        <v>16</v>
      </c>
      <c r="H86" s="6" t="s">
        <v>159</v>
      </c>
      <c r="I86" s="6" t="s">
        <v>160</v>
      </c>
      <c r="J86" s="6">
        <v>2016183422</v>
      </c>
      <c r="K86" s="4">
        <v>102.1</v>
      </c>
      <c r="L86" s="4">
        <v>79.8</v>
      </c>
      <c r="M86" s="4"/>
      <c r="N86" s="3">
        <f t="shared" si="2"/>
        <v>88.72</v>
      </c>
      <c r="O86" s="8">
        <v>54</v>
      </c>
    </row>
    <row r="87" spans="1:15" ht="16.5" customHeight="1">
      <c r="A87" s="7">
        <v>84</v>
      </c>
      <c r="B87" s="6" t="s">
        <v>14</v>
      </c>
      <c r="C87" s="6" t="str">
        <f>"1011201607232112515408"</f>
        <v>1011201607232112515408</v>
      </c>
      <c r="D87" s="6" t="s">
        <v>170</v>
      </c>
      <c r="E87" s="6" t="s">
        <v>15</v>
      </c>
      <c r="F87" s="6" t="str">
        <f>"341221199309067362"</f>
        <v>341221199309067362</v>
      </c>
      <c r="G87" s="6" t="s">
        <v>16</v>
      </c>
      <c r="H87" s="6" t="s">
        <v>22</v>
      </c>
      <c r="I87" s="6" t="s">
        <v>171</v>
      </c>
      <c r="J87" s="6">
        <v>2016184026</v>
      </c>
      <c r="K87" s="4">
        <v>98.1</v>
      </c>
      <c r="L87" s="4">
        <v>82.4</v>
      </c>
      <c r="M87" s="4"/>
      <c r="N87" s="3">
        <f t="shared" si="2"/>
        <v>88.68</v>
      </c>
      <c r="O87" s="8">
        <v>55</v>
      </c>
    </row>
    <row r="88" spans="1:15" ht="16.5" customHeight="1">
      <c r="A88" s="7">
        <v>85</v>
      </c>
      <c r="B88" s="6" t="s">
        <v>14</v>
      </c>
      <c r="C88" s="6" t="str">
        <f>"1011201607240838285492"</f>
        <v>1011201607240838285492</v>
      </c>
      <c r="D88" s="6" t="s">
        <v>198</v>
      </c>
      <c r="E88" s="6" t="s">
        <v>15</v>
      </c>
      <c r="F88" s="6" t="str">
        <f>"341281199107219002"</f>
        <v>341281199107219002</v>
      </c>
      <c r="G88" s="6" t="s">
        <v>16</v>
      </c>
      <c r="H88" s="6" t="s">
        <v>199</v>
      </c>
      <c r="I88" s="6" t="s">
        <v>58</v>
      </c>
      <c r="J88" s="6">
        <v>2016182315</v>
      </c>
      <c r="K88" s="4">
        <v>97.7</v>
      </c>
      <c r="L88" s="4">
        <v>82.4</v>
      </c>
      <c r="M88" s="4"/>
      <c r="N88" s="3">
        <f t="shared" si="2"/>
        <v>88.52000000000001</v>
      </c>
      <c r="O88" s="8">
        <v>56</v>
      </c>
    </row>
    <row r="89" spans="1:15" ht="16.5" customHeight="1">
      <c r="A89" s="7">
        <v>86</v>
      </c>
      <c r="B89" s="6" t="s">
        <v>14</v>
      </c>
      <c r="C89" s="6" t="str">
        <f>"1011201607230803124470"</f>
        <v>1011201607230803124470</v>
      </c>
      <c r="D89" s="6" t="s">
        <v>21</v>
      </c>
      <c r="E89" s="6" t="s">
        <v>15</v>
      </c>
      <c r="F89" s="6" t="str">
        <f>"341227199401018043"</f>
        <v>341227199401018043</v>
      </c>
      <c r="G89" s="6" t="s">
        <v>16</v>
      </c>
      <c r="H89" s="6" t="s">
        <v>22</v>
      </c>
      <c r="I89" s="6" t="s">
        <v>17</v>
      </c>
      <c r="J89" s="6">
        <v>2016181510</v>
      </c>
      <c r="K89" s="4">
        <v>102.9</v>
      </c>
      <c r="L89" s="4">
        <v>78.4</v>
      </c>
      <c r="M89" s="4"/>
      <c r="N89" s="3">
        <f t="shared" si="2"/>
        <v>88.2</v>
      </c>
      <c r="O89" s="8">
        <v>57</v>
      </c>
    </row>
    <row r="90" spans="1:15" ht="16.5" customHeight="1">
      <c r="A90" s="7">
        <v>87</v>
      </c>
      <c r="B90" s="6" t="s">
        <v>14</v>
      </c>
      <c r="C90" s="6" t="str">
        <f>"1011201607231439195137"</f>
        <v>1011201607231439195137</v>
      </c>
      <c r="D90" s="6" t="s">
        <v>177</v>
      </c>
      <c r="E90" s="6" t="s">
        <v>15</v>
      </c>
      <c r="F90" s="6" t="str">
        <f>"341623199501282323"</f>
        <v>341623199501282323</v>
      </c>
      <c r="G90" s="6" t="s">
        <v>11</v>
      </c>
      <c r="H90" s="6" t="s">
        <v>55</v>
      </c>
      <c r="I90" s="6" t="s">
        <v>17</v>
      </c>
      <c r="J90" s="6">
        <v>2016183330</v>
      </c>
      <c r="K90" s="4">
        <v>98.9</v>
      </c>
      <c r="L90" s="4">
        <v>80.8</v>
      </c>
      <c r="M90" s="4"/>
      <c r="N90" s="3">
        <f t="shared" si="2"/>
        <v>88.03999999999999</v>
      </c>
      <c r="O90" s="8">
        <v>58</v>
      </c>
    </row>
    <row r="91" spans="1:15" ht="16.5" customHeight="1">
      <c r="A91" s="7">
        <v>88</v>
      </c>
      <c r="B91" s="6" t="s">
        <v>14</v>
      </c>
      <c r="C91" s="6" t="str">
        <f>"1011201607231146264973"</f>
        <v>1011201607231146264973</v>
      </c>
      <c r="D91" s="6" t="s">
        <v>174</v>
      </c>
      <c r="E91" s="6" t="s">
        <v>15</v>
      </c>
      <c r="F91" s="6" t="str">
        <f>"341621199201270926"</f>
        <v>341621199201270926</v>
      </c>
      <c r="G91" s="6" t="s">
        <v>16</v>
      </c>
      <c r="H91" s="6" t="s">
        <v>175</v>
      </c>
      <c r="I91" s="6" t="s">
        <v>17</v>
      </c>
      <c r="J91" s="6">
        <v>2016180123</v>
      </c>
      <c r="K91" s="4">
        <v>84.4</v>
      </c>
      <c r="L91" s="4">
        <v>90.2</v>
      </c>
      <c r="M91" s="4"/>
      <c r="N91" s="3">
        <f t="shared" si="2"/>
        <v>87.88</v>
      </c>
      <c r="O91" s="8">
        <v>59</v>
      </c>
    </row>
    <row r="92" spans="1:15" ht="16.5" customHeight="1">
      <c r="A92" s="7">
        <v>89</v>
      </c>
      <c r="B92" s="6" t="s">
        <v>14</v>
      </c>
      <c r="C92" s="6" t="str">
        <f>"1011201607251611416087"</f>
        <v>1011201607251611416087</v>
      </c>
      <c r="D92" s="6" t="s">
        <v>224</v>
      </c>
      <c r="E92" s="6" t="s">
        <v>15</v>
      </c>
      <c r="F92" s="6" t="str">
        <f>"340621199410297286"</f>
        <v>340621199410297286</v>
      </c>
      <c r="G92" s="6" t="s">
        <v>16</v>
      </c>
      <c r="H92" s="6" t="s">
        <v>35</v>
      </c>
      <c r="I92" s="6" t="s">
        <v>17</v>
      </c>
      <c r="J92" s="6">
        <v>2016180509</v>
      </c>
      <c r="K92" s="4">
        <v>77</v>
      </c>
      <c r="L92" s="4">
        <v>95</v>
      </c>
      <c r="M92" s="4"/>
      <c r="N92" s="3">
        <f t="shared" si="2"/>
        <v>87.8</v>
      </c>
      <c r="O92" s="8">
        <v>60</v>
      </c>
    </row>
    <row r="93" spans="1:15" ht="16.5" customHeight="1">
      <c r="A93" s="7">
        <v>90</v>
      </c>
      <c r="B93" s="6" t="s">
        <v>14</v>
      </c>
      <c r="C93" s="6" t="str">
        <f>"1011201607230847194612"</f>
        <v>1011201607230847194612</v>
      </c>
      <c r="D93" s="6" t="s">
        <v>205</v>
      </c>
      <c r="E93" s="6" t="s">
        <v>15</v>
      </c>
      <c r="F93" s="6" t="str">
        <f>"341203199202104562"</f>
        <v>341203199202104562</v>
      </c>
      <c r="G93" s="6" t="s">
        <v>24</v>
      </c>
      <c r="H93" s="6" t="s">
        <v>18</v>
      </c>
      <c r="I93" s="6" t="s">
        <v>17</v>
      </c>
      <c r="J93" s="6">
        <v>2016183026</v>
      </c>
      <c r="K93" s="4">
        <v>98.5</v>
      </c>
      <c r="L93" s="4">
        <v>80.6</v>
      </c>
      <c r="M93" s="4"/>
      <c r="N93" s="3">
        <f t="shared" si="2"/>
        <v>87.75999999999999</v>
      </c>
      <c r="O93" s="8">
        <v>61</v>
      </c>
    </row>
    <row r="94" spans="1:15" ht="16.5" customHeight="1">
      <c r="A94" s="7">
        <v>91</v>
      </c>
      <c r="B94" s="6" t="s">
        <v>14</v>
      </c>
      <c r="C94" s="6" t="str">
        <f>"1011201607230811414511"</f>
        <v>1011201607230811414511</v>
      </c>
      <c r="D94" s="6" t="s">
        <v>45</v>
      </c>
      <c r="E94" s="6" t="s">
        <v>15</v>
      </c>
      <c r="F94" s="6" t="str">
        <f>"341227199311140221"</f>
        <v>341227199311140221</v>
      </c>
      <c r="G94" s="6" t="s">
        <v>24</v>
      </c>
      <c r="H94" s="6" t="s">
        <v>46</v>
      </c>
      <c r="I94" s="6" t="s">
        <v>17</v>
      </c>
      <c r="J94" s="6">
        <v>2016180426</v>
      </c>
      <c r="K94" s="4">
        <v>89.1</v>
      </c>
      <c r="L94" s="4">
        <v>86.8</v>
      </c>
      <c r="M94" s="4"/>
      <c r="N94" s="3">
        <f t="shared" si="2"/>
        <v>87.72</v>
      </c>
      <c r="O94" s="8">
        <v>62</v>
      </c>
    </row>
    <row r="95" spans="1:15" ht="16.5" customHeight="1">
      <c r="A95" s="7">
        <v>92</v>
      </c>
      <c r="B95" s="6" t="s">
        <v>14</v>
      </c>
      <c r="C95" s="6" t="str">
        <f>"1011201607241911515805"</f>
        <v>1011201607241911515805</v>
      </c>
      <c r="D95" s="6" t="s">
        <v>210</v>
      </c>
      <c r="E95" s="6" t="s">
        <v>15</v>
      </c>
      <c r="F95" s="6" t="str">
        <f>"342601198912107421"</f>
        <v>342601198912107421</v>
      </c>
      <c r="G95" s="6" t="s">
        <v>11</v>
      </c>
      <c r="H95" s="6" t="s">
        <v>33</v>
      </c>
      <c r="I95" s="6" t="s">
        <v>17</v>
      </c>
      <c r="J95" s="6">
        <v>2016184124</v>
      </c>
      <c r="K95" s="4">
        <v>92.3</v>
      </c>
      <c r="L95" s="4">
        <v>84.6</v>
      </c>
      <c r="M95" s="4"/>
      <c r="N95" s="3">
        <f aca="true" t="shared" si="3" ref="N95:N126">K95*0.4+L95*0.6</f>
        <v>87.68</v>
      </c>
      <c r="O95" s="8">
        <v>63</v>
      </c>
    </row>
    <row r="96" spans="1:15" ht="16.5" customHeight="1">
      <c r="A96" s="7">
        <v>93</v>
      </c>
      <c r="B96" s="6" t="s">
        <v>14</v>
      </c>
      <c r="C96" s="6" t="str">
        <f>"1011201607231056154902"</f>
        <v>1011201607231056154902</v>
      </c>
      <c r="D96" s="6" t="s">
        <v>176</v>
      </c>
      <c r="E96" s="6" t="s">
        <v>15</v>
      </c>
      <c r="F96" s="6" t="str">
        <f>"341623199212220062"</f>
        <v>341623199212220062</v>
      </c>
      <c r="G96" s="6" t="s">
        <v>16</v>
      </c>
      <c r="H96" s="6" t="s">
        <v>34</v>
      </c>
      <c r="I96" s="6" t="s">
        <v>17</v>
      </c>
      <c r="J96" s="6">
        <v>2016180510</v>
      </c>
      <c r="K96" s="4">
        <v>102.1</v>
      </c>
      <c r="L96" s="4">
        <v>78</v>
      </c>
      <c r="M96" s="4"/>
      <c r="N96" s="3">
        <f t="shared" si="3"/>
        <v>87.64</v>
      </c>
      <c r="O96" s="8">
        <v>64</v>
      </c>
    </row>
    <row r="97" spans="1:15" ht="16.5" customHeight="1">
      <c r="A97" s="7">
        <v>94</v>
      </c>
      <c r="B97" s="6" t="s">
        <v>14</v>
      </c>
      <c r="C97" s="6" t="str">
        <f>"1011201607231455445162"</f>
        <v>1011201607231455445162</v>
      </c>
      <c r="D97" s="6" t="s">
        <v>145</v>
      </c>
      <c r="E97" s="6" t="s">
        <v>15</v>
      </c>
      <c r="F97" s="6" t="str">
        <f>"340621199503027525"</f>
        <v>340621199503027525</v>
      </c>
      <c r="G97" s="6" t="s">
        <v>16</v>
      </c>
      <c r="H97" s="6" t="s">
        <v>22</v>
      </c>
      <c r="I97" s="6" t="s">
        <v>58</v>
      </c>
      <c r="J97" s="6">
        <v>2016181023</v>
      </c>
      <c r="K97" s="4">
        <v>91.3</v>
      </c>
      <c r="L97" s="4">
        <v>85</v>
      </c>
      <c r="M97" s="4"/>
      <c r="N97" s="3">
        <f t="shared" si="3"/>
        <v>87.52000000000001</v>
      </c>
      <c r="O97" s="8">
        <v>65</v>
      </c>
    </row>
    <row r="98" spans="1:15" ht="16.5" customHeight="1">
      <c r="A98" s="7">
        <v>95</v>
      </c>
      <c r="B98" s="6" t="s">
        <v>14</v>
      </c>
      <c r="C98" s="6" t="str">
        <f>"1011201607231216354995"</f>
        <v>1011201607231216354995</v>
      </c>
      <c r="D98" s="6" t="s">
        <v>123</v>
      </c>
      <c r="E98" s="6" t="s">
        <v>15</v>
      </c>
      <c r="F98" s="6" t="str">
        <f>"341223199504062121"</f>
        <v>341223199504062121</v>
      </c>
      <c r="G98" s="6" t="s">
        <v>16</v>
      </c>
      <c r="H98" s="6" t="s">
        <v>25</v>
      </c>
      <c r="I98" s="6" t="s">
        <v>17</v>
      </c>
      <c r="J98" s="6">
        <v>2016180909</v>
      </c>
      <c r="K98" s="4">
        <v>88.5</v>
      </c>
      <c r="L98" s="4">
        <v>86.8</v>
      </c>
      <c r="M98" s="4"/>
      <c r="N98" s="3">
        <f t="shared" si="3"/>
        <v>87.47999999999999</v>
      </c>
      <c r="O98" s="8">
        <v>66</v>
      </c>
    </row>
    <row r="99" spans="1:15" ht="16.5" customHeight="1">
      <c r="A99" s="7">
        <v>96</v>
      </c>
      <c r="B99" s="6" t="s">
        <v>14</v>
      </c>
      <c r="C99" s="6" t="str">
        <f>"1011201607230958224787"</f>
        <v>1011201607230958224787</v>
      </c>
      <c r="D99" s="6" t="s">
        <v>97</v>
      </c>
      <c r="E99" s="6" t="s">
        <v>15</v>
      </c>
      <c r="F99" s="6" t="str">
        <f>"341224199303260523"</f>
        <v>341224199303260523</v>
      </c>
      <c r="G99" s="6" t="s">
        <v>16</v>
      </c>
      <c r="H99" s="6" t="s">
        <v>31</v>
      </c>
      <c r="I99" s="6" t="s">
        <v>17</v>
      </c>
      <c r="J99" s="6">
        <v>2016183722</v>
      </c>
      <c r="K99" s="4">
        <v>85.5</v>
      </c>
      <c r="L99" s="4">
        <v>88.6</v>
      </c>
      <c r="M99" s="4"/>
      <c r="N99" s="3">
        <f t="shared" si="3"/>
        <v>87.36</v>
      </c>
      <c r="O99" s="8">
        <v>67</v>
      </c>
    </row>
    <row r="100" spans="1:15" ht="16.5" customHeight="1">
      <c r="A100" s="7">
        <v>97</v>
      </c>
      <c r="B100" s="6" t="s">
        <v>14</v>
      </c>
      <c r="C100" s="6" t="str">
        <f>"1011201607231139454966"</f>
        <v>1011201607231139454966</v>
      </c>
      <c r="D100" s="6" t="s">
        <v>204</v>
      </c>
      <c r="E100" s="6" t="s">
        <v>15</v>
      </c>
      <c r="F100" s="6" t="str">
        <f>"341227199307055489"</f>
        <v>341227199307055489</v>
      </c>
      <c r="G100" s="6" t="s">
        <v>16</v>
      </c>
      <c r="H100" s="6" t="s">
        <v>22</v>
      </c>
      <c r="I100" s="6" t="s">
        <v>17</v>
      </c>
      <c r="J100" s="6">
        <v>2016180305</v>
      </c>
      <c r="K100" s="4">
        <v>95.6</v>
      </c>
      <c r="L100" s="4">
        <v>81.8</v>
      </c>
      <c r="M100" s="4"/>
      <c r="N100" s="3">
        <f t="shared" si="3"/>
        <v>87.32</v>
      </c>
      <c r="O100" s="8">
        <v>68</v>
      </c>
    </row>
    <row r="101" spans="1:15" ht="16.5" customHeight="1">
      <c r="A101" s="7">
        <v>98</v>
      </c>
      <c r="B101" s="6" t="s">
        <v>14</v>
      </c>
      <c r="C101" s="6" t="str">
        <f>"1011201607231818195312"</f>
        <v>1011201607231818195312</v>
      </c>
      <c r="D101" s="6" t="s">
        <v>156</v>
      </c>
      <c r="E101" s="6" t="s">
        <v>15</v>
      </c>
      <c r="F101" s="6" t="str">
        <f>"341227198907179042"</f>
        <v>341227198907179042</v>
      </c>
      <c r="G101" s="6" t="s">
        <v>11</v>
      </c>
      <c r="H101" s="6" t="s">
        <v>35</v>
      </c>
      <c r="I101" s="6" t="s">
        <v>141</v>
      </c>
      <c r="J101" s="6">
        <v>2016183829</v>
      </c>
      <c r="K101" s="4">
        <v>102.8</v>
      </c>
      <c r="L101" s="4">
        <v>77</v>
      </c>
      <c r="M101" s="4"/>
      <c r="N101" s="3">
        <f t="shared" si="3"/>
        <v>87.32</v>
      </c>
      <c r="O101" s="8">
        <v>69</v>
      </c>
    </row>
    <row r="102" spans="1:15" ht="16.5" customHeight="1">
      <c r="A102" s="7">
        <v>99</v>
      </c>
      <c r="B102" s="6" t="s">
        <v>14</v>
      </c>
      <c r="C102" s="6" t="str">
        <f>"1011201607261212376317"</f>
        <v>1011201607261212376317</v>
      </c>
      <c r="D102" s="6" t="s">
        <v>235</v>
      </c>
      <c r="E102" s="6" t="s">
        <v>15</v>
      </c>
      <c r="F102" s="6" t="str">
        <f>"341227199204066169"</f>
        <v>341227199204066169</v>
      </c>
      <c r="G102" s="6" t="s">
        <v>11</v>
      </c>
      <c r="H102" s="6" t="s">
        <v>68</v>
      </c>
      <c r="I102" s="6" t="s">
        <v>17</v>
      </c>
      <c r="J102" s="6">
        <v>2016182201</v>
      </c>
      <c r="K102" s="4">
        <v>98.1</v>
      </c>
      <c r="L102" s="4">
        <v>80</v>
      </c>
      <c r="M102" s="4"/>
      <c r="N102" s="3">
        <f t="shared" si="3"/>
        <v>87.24000000000001</v>
      </c>
      <c r="O102" s="8">
        <v>70</v>
      </c>
    </row>
    <row r="103" spans="1:15" ht="16.5" customHeight="1">
      <c r="A103" s="7">
        <v>100</v>
      </c>
      <c r="B103" s="6" t="s">
        <v>14</v>
      </c>
      <c r="C103" s="6" t="str">
        <f>"1011201607241658445743"</f>
        <v>1011201607241658445743</v>
      </c>
      <c r="D103" s="6" t="s">
        <v>201</v>
      </c>
      <c r="E103" s="6" t="s">
        <v>15</v>
      </c>
      <c r="F103" s="6" t="str">
        <f>"341623199306078327"</f>
        <v>341623199306078327</v>
      </c>
      <c r="G103" s="6" t="s">
        <v>11</v>
      </c>
      <c r="H103" s="6" t="s">
        <v>39</v>
      </c>
      <c r="I103" s="6" t="s">
        <v>17</v>
      </c>
      <c r="J103" s="6">
        <v>2016184104</v>
      </c>
      <c r="K103" s="4">
        <v>92</v>
      </c>
      <c r="L103" s="4">
        <v>84</v>
      </c>
      <c r="M103" s="4"/>
      <c r="N103" s="3">
        <f t="shared" si="3"/>
        <v>87.2</v>
      </c>
      <c r="O103" s="8">
        <v>71</v>
      </c>
    </row>
    <row r="104" spans="1:15" ht="16.5" customHeight="1">
      <c r="A104" s="7">
        <v>101</v>
      </c>
      <c r="B104" s="6" t="s">
        <v>14</v>
      </c>
      <c r="C104" s="6" t="str">
        <f>"1011201607230927284721"</f>
        <v>1011201607230927284721</v>
      </c>
      <c r="D104" s="6" t="s">
        <v>92</v>
      </c>
      <c r="E104" s="6" t="s">
        <v>15</v>
      </c>
      <c r="F104" s="6" t="str">
        <f>"341223199508011145"</f>
        <v>341223199508011145</v>
      </c>
      <c r="G104" s="6" t="s">
        <v>16</v>
      </c>
      <c r="H104" s="6" t="s">
        <v>22</v>
      </c>
      <c r="I104" s="6" t="s">
        <v>17</v>
      </c>
      <c r="J104" s="6">
        <v>2016184030</v>
      </c>
      <c r="K104" s="4">
        <v>90.8</v>
      </c>
      <c r="L104" s="4">
        <v>84.8</v>
      </c>
      <c r="M104" s="4"/>
      <c r="N104" s="3">
        <f t="shared" si="3"/>
        <v>87.19999999999999</v>
      </c>
      <c r="O104" s="8">
        <v>72</v>
      </c>
    </row>
    <row r="105" spans="1:15" ht="16.5" customHeight="1">
      <c r="A105" s="7">
        <v>102</v>
      </c>
      <c r="B105" s="6" t="s">
        <v>14</v>
      </c>
      <c r="C105" s="6" t="str">
        <f>"1011201607252357386217"</f>
        <v>1011201607252357386217</v>
      </c>
      <c r="D105" s="6" t="s">
        <v>229</v>
      </c>
      <c r="E105" s="6" t="s">
        <v>15</v>
      </c>
      <c r="F105" s="6" t="str">
        <f>"341227199412016166"</f>
        <v>341227199412016166</v>
      </c>
      <c r="G105" s="6" t="s">
        <v>16</v>
      </c>
      <c r="H105" s="6" t="s">
        <v>35</v>
      </c>
      <c r="I105" s="6" t="s">
        <v>17</v>
      </c>
      <c r="J105" s="6">
        <v>2016182126</v>
      </c>
      <c r="K105" s="4">
        <v>92.2</v>
      </c>
      <c r="L105" s="4">
        <v>83.8</v>
      </c>
      <c r="M105" s="4"/>
      <c r="N105" s="3">
        <f t="shared" si="3"/>
        <v>87.16</v>
      </c>
      <c r="O105" s="8">
        <v>73</v>
      </c>
    </row>
    <row r="106" spans="1:15" ht="16.5" customHeight="1">
      <c r="A106" s="7">
        <v>103</v>
      </c>
      <c r="B106" s="6" t="s">
        <v>14</v>
      </c>
      <c r="C106" s="6" t="str">
        <f>"1011201607231309125050"</f>
        <v>1011201607231309125050</v>
      </c>
      <c r="D106" s="6" t="s">
        <v>140</v>
      </c>
      <c r="E106" s="6" t="s">
        <v>15</v>
      </c>
      <c r="F106" s="6" t="str">
        <f>"341203199610180329"</f>
        <v>341203199610180329</v>
      </c>
      <c r="G106" s="6" t="s">
        <v>16</v>
      </c>
      <c r="H106" s="6" t="s">
        <v>22</v>
      </c>
      <c r="I106" s="6" t="s">
        <v>17</v>
      </c>
      <c r="J106" s="6">
        <v>2016185001</v>
      </c>
      <c r="K106" s="4">
        <v>100.8</v>
      </c>
      <c r="L106" s="4">
        <v>78</v>
      </c>
      <c r="M106" s="4"/>
      <c r="N106" s="3">
        <f t="shared" si="3"/>
        <v>87.12</v>
      </c>
      <c r="O106" s="8">
        <v>74</v>
      </c>
    </row>
    <row r="107" spans="1:15" ht="16.5" customHeight="1">
      <c r="A107" s="7">
        <v>104</v>
      </c>
      <c r="B107" s="6" t="s">
        <v>14</v>
      </c>
      <c r="C107" s="6" t="str">
        <f>"1011201607230935274744"</f>
        <v>1011201607230935274744</v>
      </c>
      <c r="D107" s="6" t="s">
        <v>106</v>
      </c>
      <c r="E107" s="6" t="s">
        <v>15</v>
      </c>
      <c r="F107" s="6" t="str">
        <f>"341227199604205623"</f>
        <v>341227199604205623</v>
      </c>
      <c r="G107" s="6" t="s">
        <v>16</v>
      </c>
      <c r="H107" s="6" t="s">
        <v>22</v>
      </c>
      <c r="I107" s="6" t="s">
        <v>17</v>
      </c>
      <c r="J107" s="6">
        <v>2016180401</v>
      </c>
      <c r="K107" s="4">
        <v>97.4</v>
      </c>
      <c r="L107" s="4">
        <v>80.2</v>
      </c>
      <c r="M107" s="4"/>
      <c r="N107" s="3">
        <f t="shared" si="3"/>
        <v>87.08000000000001</v>
      </c>
      <c r="O107" s="8">
        <v>75</v>
      </c>
    </row>
    <row r="108" spans="1:15" ht="16.5" customHeight="1">
      <c r="A108" s="7">
        <v>105</v>
      </c>
      <c r="B108" s="6" t="s">
        <v>14</v>
      </c>
      <c r="C108" s="6" t="str">
        <f>"1011201607251414006054"</f>
        <v>1011201607251414006054</v>
      </c>
      <c r="D108" s="6" t="s">
        <v>221</v>
      </c>
      <c r="E108" s="6" t="s">
        <v>15</v>
      </c>
      <c r="F108" s="6" t="str">
        <f>"341623198909106046"</f>
        <v>341623198909106046</v>
      </c>
      <c r="G108" s="6" t="s">
        <v>16</v>
      </c>
      <c r="H108" s="6" t="s">
        <v>22</v>
      </c>
      <c r="I108" s="6" t="s">
        <v>141</v>
      </c>
      <c r="J108" s="6">
        <v>2016181809</v>
      </c>
      <c r="K108" s="4">
        <v>97.8</v>
      </c>
      <c r="L108" s="4">
        <v>79.8</v>
      </c>
      <c r="M108" s="4"/>
      <c r="N108" s="3">
        <f t="shared" si="3"/>
        <v>87</v>
      </c>
      <c r="O108" s="8">
        <v>76</v>
      </c>
    </row>
    <row r="109" spans="1:15" ht="16.5" customHeight="1">
      <c r="A109" s="7">
        <v>106</v>
      </c>
      <c r="B109" s="6" t="s">
        <v>14</v>
      </c>
      <c r="C109" s="6" t="str">
        <f>"1011201607240811125479"</f>
        <v>1011201607240811125479</v>
      </c>
      <c r="D109" s="6" t="s">
        <v>182</v>
      </c>
      <c r="E109" s="6" t="s">
        <v>15</v>
      </c>
      <c r="F109" s="6" t="str">
        <f>"341227199208181041"</f>
        <v>341227199208181041</v>
      </c>
      <c r="G109" s="6" t="s">
        <v>16</v>
      </c>
      <c r="H109" s="6" t="s">
        <v>27</v>
      </c>
      <c r="I109" s="6" t="s">
        <v>17</v>
      </c>
      <c r="J109" s="6">
        <v>2016183313</v>
      </c>
      <c r="K109" s="4">
        <v>88.80000000000001</v>
      </c>
      <c r="L109" s="4">
        <v>85.8</v>
      </c>
      <c r="M109" s="4"/>
      <c r="N109" s="3">
        <f t="shared" si="3"/>
        <v>87</v>
      </c>
      <c r="O109" s="8">
        <v>77</v>
      </c>
    </row>
    <row r="110" spans="1:15" ht="16.5" customHeight="1">
      <c r="A110" s="7">
        <v>107</v>
      </c>
      <c r="B110" s="6" t="s">
        <v>14</v>
      </c>
      <c r="C110" s="6" t="str">
        <f>"1011201607232233255439"</f>
        <v>1011201607232233255439</v>
      </c>
      <c r="D110" s="6" t="s">
        <v>179</v>
      </c>
      <c r="E110" s="6" t="s">
        <v>15</v>
      </c>
      <c r="F110" s="6" t="str">
        <f>"341621199403193965"</f>
        <v>341621199403193965</v>
      </c>
      <c r="G110" s="6" t="s">
        <v>16</v>
      </c>
      <c r="H110" s="6" t="s">
        <v>34</v>
      </c>
      <c r="I110" s="6" t="s">
        <v>180</v>
      </c>
      <c r="J110" s="6">
        <v>2016183908</v>
      </c>
      <c r="K110" s="4">
        <v>89.80000000000001</v>
      </c>
      <c r="L110" s="4">
        <v>85</v>
      </c>
      <c r="M110" s="4"/>
      <c r="N110" s="3">
        <f t="shared" si="3"/>
        <v>86.92000000000002</v>
      </c>
      <c r="O110" s="8">
        <v>78</v>
      </c>
    </row>
    <row r="111" spans="1:15" ht="16.5" customHeight="1">
      <c r="A111" s="7">
        <v>108</v>
      </c>
      <c r="B111" s="6" t="s">
        <v>14</v>
      </c>
      <c r="C111" s="6" t="str">
        <f>"1011201607270808296498"</f>
        <v>1011201607270808296498</v>
      </c>
      <c r="D111" s="6" t="s">
        <v>232</v>
      </c>
      <c r="E111" s="6" t="s">
        <v>15</v>
      </c>
      <c r="F111" s="6" t="str">
        <f>"341224199212017229"</f>
        <v>341224199212017229</v>
      </c>
      <c r="G111" s="6" t="s">
        <v>11</v>
      </c>
      <c r="H111" s="6" t="s">
        <v>82</v>
      </c>
      <c r="I111" s="6" t="s">
        <v>17</v>
      </c>
      <c r="J111" s="6">
        <v>2016184814</v>
      </c>
      <c r="K111" s="4">
        <v>97.9</v>
      </c>
      <c r="L111" s="4">
        <v>79.6</v>
      </c>
      <c r="M111" s="4"/>
      <c r="N111" s="3">
        <f t="shared" si="3"/>
        <v>86.92</v>
      </c>
      <c r="O111" s="8">
        <v>79</v>
      </c>
    </row>
    <row r="112" spans="1:15" ht="16.5" customHeight="1">
      <c r="A112" s="7">
        <v>109</v>
      </c>
      <c r="B112" s="6" t="s">
        <v>14</v>
      </c>
      <c r="C112" s="6" t="str">
        <f>"1011201607251930276159"</f>
        <v>1011201607251930276159</v>
      </c>
      <c r="D112" s="6" t="s">
        <v>236</v>
      </c>
      <c r="E112" s="6" t="s">
        <v>15</v>
      </c>
      <c r="F112" s="6" t="str">
        <f>"34122319910804532X"</f>
        <v>34122319910804532X</v>
      </c>
      <c r="G112" s="6" t="s">
        <v>16</v>
      </c>
      <c r="H112" s="6" t="s">
        <v>20</v>
      </c>
      <c r="I112" s="6" t="s">
        <v>17</v>
      </c>
      <c r="J112" s="6">
        <v>2016182105</v>
      </c>
      <c r="K112" s="4">
        <v>101.8</v>
      </c>
      <c r="L112" s="4">
        <v>77</v>
      </c>
      <c r="M112" s="4"/>
      <c r="N112" s="3">
        <f t="shared" si="3"/>
        <v>86.91999999999999</v>
      </c>
      <c r="O112" s="8">
        <v>80</v>
      </c>
    </row>
    <row r="113" spans="1:15" ht="16.5" customHeight="1">
      <c r="A113" s="7">
        <v>110</v>
      </c>
      <c r="B113" s="6" t="s">
        <v>14</v>
      </c>
      <c r="C113" s="6" t="str">
        <f>"1011201607250824315904"</f>
        <v>1011201607250824315904</v>
      </c>
      <c r="D113" s="6" t="s">
        <v>218</v>
      </c>
      <c r="E113" s="6" t="s">
        <v>15</v>
      </c>
      <c r="F113" s="6" t="str">
        <f>"341621199501120049"</f>
        <v>341621199501120049</v>
      </c>
      <c r="G113" s="6" t="s">
        <v>16</v>
      </c>
      <c r="H113" s="6" t="s">
        <v>31</v>
      </c>
      <c r="I113" s="6" t="s">
        <v>17</v>
      </c>
      <c r="J113" s="6">
        <v>2016181725</v>
      </c>
      <c r="K113" s="4">
        <v>86.6</v>
      </c>
      <c r="L113" s="4">
        <v>86.8</v>
      </c>
      <c r="M113" s="4"/>
      <c r="N113" s="3">
        <f t="shared" si="3"/>
        <v>86.72</v>
      </c>
      <c r="O113" s="8">
        <v>81</v>
      </c>
    </row>
    <row r="114" spans="1:15" ht="16.5" customHeight="1">
      <c r="A114" s="7">
        <v>111</v>
      </c>
      <c r="B114" s="6" t="s">
        <v>14</v>
      </c>
      <c r="C114" s="6" t="str">
        <f>"1011201607271040206538"</f>
        <v>1011201607271040206538</v>
      </c>
      <c r="D114" s="6" t="s">
        <v>251</v>
      </c>
      <c r="E114" s="6" t="s">
        <v>15</v>
      </c>
      <c r="F114" s="6" t="str">
        <f>"341221199104235246"</f>
        <v>341221199104235246</v>
      </c>
      <c r="G114" s="6" t="s">
        <v>16</v>
      </c>
      <c r="H114" s="6" t="s">
        <v>22</v>
      </c>
      <c r="I114" s="6" t="s">
        <v>17</v>
      </c>
      <c r="J114" s="6">
        <v>2016181812</v>
      </c>
      <c r="K114" s="4">
        <v>87.3</v>
      </c>
      <c r="L114" s="4">
        <v>86.2</v>
      </c>
      <c r="M114" s="4"/>
      <c r="N114" s="3">
        <f t="shared" si="3"/>
        <v>86.64</v>
      </c>
      <c r="O114" s="8">
        <v>82</v>
      </c>
    </row>
    <row r="115" spans="1:15" ht="16.5" customHeight="1">
      <c r="A115" s="7">
        <v>112</v>
      </c>
      <c r="B115" s="6" t="s">
        <v>14</v>
      </c>
      <c r="C115" s="6" t="str">
        <f>"1011201607230807414494"</f>
        <v>1011201607230807414494</v>
      </c>
      <c r="D115" s="6" t="s">
        <v>122</v>
      </c>
      <c r="E115" s="6" t="s">
        <v>15</v>
      </c>
      <c r="F115" s="6" t="str">
        <f>"341224199207127423"</f>
        <v>341224199207127423</v>
      </c>
      <c r="G115" s="6" t="s">
        <v>16</v>
      </c>
      <c r="H115" s="6" t="s">
        <v>12</v>
      </c>
      <c r="I115" s="6" t="s">
        <v>17</v>
      </c>
      <c r="J115" s="6">
        <v>2016182025</v>
      </c>
      <c r="K115" s="4">
        <v>83.1</v>
      </c>
      <c r="L115" s="4">
        <v>89</v>
      </c>
      <c r="M115" s="4"/>
      <c r="N115" s="3">
        <f t="shared" si="3"/>
        <v>86.64</v>
      </c>
      <c r="O115" s="8">
        <v>83</v>
      </c>
    </row>
    <row r="116" spans="1:15" ht="16.5" customHeight="1">
      <c r="A116" s="7">
        <v>113</v>
      </c>
      <c r="B116" s="6" t="s">
        <v>14</v>
      </c>
      <c r="C116" s="6" t="str">
        <f>"1011201607240926555529"</f>
        <v>1011201607240926555529</v>
      </c>
      <c r="D116" s="6" t="s">
        <v>124</v>
      </c>
      <c r="E116" s="6" t="s">
        <v>15</v>
      </c>
      <c r="F116" s="6" t="str">
        <f>"34120419910304226X"</f>
        <v>34120419910304226X</v>
      </c>
      <c r="G116" s="6" t="s">
        <v>16</v>
      </c>
      <c r="H116" s="6" t="s">
        <v>18</v>
      </c>
      <c r="I116" s="6" t="s">
        <v>17</v>
      </c>
      <c r="J116" s="6">
        <v>2016183624</v>
      </c>
      <c r="K116" s="4">
        <v>84.5</v>
      </c>
      <c r="L116" s="4">
        <v>88</v>
      </c>
      <c r="M116" s="4"/>
      <c r="N116" s="3">
        <f t="shared" si="3"/>
        <v>86.6</v>
      </c>
      <c r="O116" s="8">
        <v>84</v>
      </c>
    </row>
    <row r="117" spans="1:15" ht="16.5" customHeight="1">
      <c r="A117" s="7">
        <v>114</v>
      </c>
      <c r="B117" s="6" t="s">
        <v>14</v>
      </c>
      <c r="C117" s="6" t="str">
        <f>"1011201607230913564677"</f>
        <v>1011201607230913564677</v>
      </c>
      <c r="D117" s="6" t="s">
        <v>71</v>
      </c>
      <c r="E117" s="6" t="s">
        <v>15</v>
      </c>
      <c r="F117" s="6" t="str">
        <f>"341221199112037928"</f>
        <v>341221199112037928</v>
      </c>
      <c r="G117" s="6" t="s">
        <v>16</v>
      </c>
      <c r="H117" s="6" t="s">
        <v>25</v>
      </c>
      <c r="I117" s="6" t="s">
        <v>17</v>
      </c>
      <c r="J117" s="6">
        <v>2016180517</v>
      </c>
      <c r="K117" s="4">
        <v>98</v>
      </c>
      <c r="L117" s="4">
        <v>78.8</v>
      </c>
      <c r="M117" s="4"/>
      <c r="N117" s="3">
        <f t="shared" si="3"/>
        <v>86.47999999999999</v>
      </c>
      <c r="O117" s="8">
        <v>85</v>
      </c>
    </row>
    <row r="118" spans="1:15" ht="16.5" customHeight="1">
      <c r="A118" s="7">
        <v>115</v>
      </c>
      <c r="B118" s="6" t="s">
        <v>14</v>
      </c>
      <c r="C118" s="6" t="str">
        <f>"1011201607240520285458"</f>
        <v>1011201607240520285458</v>
      </c>
      <c r="D118" s="6" t="s">
        <v>181</v>
      </c>
      <c r="E118" s="6" t="s">
        <v>15</v>
      </c>
      <c r="F118" s="6" t="str">
        <f>"341226199202083225"</f>
        <v>341226199202083225</v>
      </c>
      <c r="G118" s="6" t="s">
        <v>16</v>
      </c>
      <c r="H118" s="6" t="s">
        <v>22</v>
      </c>
      <c r="I118" s="6" t="s">
        <v>17</v>
      </c>
      <c r="J118" s="6">
        <v>2016181430</v>
      </c>
      <c r="K118" s="4">
        <v>98</v>
      </c>
      <c r="L118" s="4">
        <v>78.8</v>
      </c>
      <c r="M118" s="4"/>
      <c r="N118" s="3">
        <f t="shared" si="3"/>
        <v>86.47999999999999</v>
      </c>
      <c r="O118" s="8">
        <v>86</v>
      </c>
    </row>
    <row r="119" spans="1:15" ht="16.5" customHeight="1">
      <c r="A119" s="7">
        <v>116</v>
      </c>
      <c r="B119" s="6" t="s">
        <v>14</v>
      </c>
      <c r="C119" s="6" t="str">
        <f>"1011201607230908454662"</f>
        <v>1011201607230908454662</v>
      </c>
      <c r="D119" s="6" t="s">
        <v>127</v>
      </c>
      <c r="E119" s="6" t="s">
        <v>15</v>
      </c>
      <c r="F119" s="6" t="str">
        <f>"341227198903088047"</f>
        <v>341227198903088047</v>
      </c>
      <c r="G119" s="6" t="s">
        <v>16</v>
      </c>
      <c r="H119" s="6" t="s">
        <v>23</v>
      </c>
      <c r="I119" s="6" t="s">
        <v>17</v>
      </c>
      <c r="J119" s="6">
        <v>2016183715</v>
      </c>
      <c r="K119" s="4">
        <v>80.2</v>
      </c>
      <c r="L119" s="4">
        <v>90.6</v>
      </c>
      <c r="M119" s="4"/>
      <c r="N119" s="3">
        <f t="shared" si="3"/>
        <v>86.44</v>
      </c>
      <c r="O119" s="8">
        <v>87</v>
      </c>
    </row>
    <row r="120" spans="1:15" ht="16.5" customHeight="1">
      <c r="A120" s="7">
        <v>117</v>
      </c>
      <c r="B120" s="6" t="s">
        <v>14</v>
      </c>
      <c r="C120" s="6" t="str">
        <f>"1011201607231615205220"</f>
        <v>1011201607231615205220</v>
      </c>
      <c r="D120" s="6" t="s">
        <v>157</v>
      </c>
      <c r="E120" s="6" t="s">
        <v>15</v>
      </c>
      <c r="F120" s="6" t="str">
        <f>"341203199101052222"</f>
        <v>341203199101052222</v>
      </c>
      <c r="G120" s="6" t="s">
        <v>16</v>
      </c>
      <c r="H120" s="6" t="s">
        <v>22</v>
      </c>
      <c r="I120" s="6" t="s">
        <v>17</v>
      </c>
      <c r="J120" s="6">
        <v>2016184405</v>
      </c>
      <c r="K120" s="4">
        <v>96.1</v>
      </c>
      <c r="L120" s="4">
        <v>79.6</v>
      </c>
      <c r="M120" s="4"/>
      <c r="N120" s="3">
        <f t="shared" si="3"/>
        <v>86.19999999999999</v>
      </c>
      <c r="O120" s="8">
        <v>88</v>
      </c>
    </row>
    <row r="121" spans="1:15" ht="16.5" customHeight="1">
      <c r="A121" s="7">
        <v>118</v>
      </c>
      <c r="B121" s="6" t="s">
        <v>14</v>
      </c>
      <c r="C121" s="6" t="str">
        <f>"1011201607231110154930"</f>
        <v>1011201607231110154930</v>
      </c>
      <c r="D121" s="6" t="s">
        <v>117</v>
      </c>
      <c r="E121" s="6" t="s">
        <v>15</v>
      </c>
      <c r="F121" s="6" t="str">
        <f>"341227199503294487"</f>
        <v>341227199503294487</v>
      </c>
      <c r="G121" s="6" t="s">
        <v>16</v>
      </c>
      <c r="H121" s="6" t="s">
        <v>20</v>
      </c>
      <c r="I121" s="6" t="s">
        <v>17</v>
      </c>
      <c r="J121" s="6">
        <v>2016184614</v>
      </c>
      <c r="K121" s="4">
        <v>92.7</v>
      </c>
      <c r="L121" s="4">
        <v>81.8</v>
      </c>
      <c r="M121" s="4"/>
      <c r="N121" s="3">
        <f t="shared" si="3"/>
        <v>86.16</v>
      </c>
      <c r="O121" s="8">
        <v>89</v>
      </c>
    </row>
    <row r="122" spans="1:15" ht="16.5" customHeight="1">
      <c r="A122" s="7">
        <v>119</v>
      </c>
      <c r="B122" s="6" t="s">
        <v>14</v>
      </c>
      <c r="C122" s="6" t="str">
        <f>"1011201607231311025052"</f>
        <v>1011201607231311025052</v>
      </c>
      <c r="D122" s="6" t="s">
        <v>132</v>
      </c>
      <c r="E122" s="6" t="s">
        <v>15</v>
      </c>
      <c r="F122" s="6" t="str">
        <f>"341622199811021528"</f>
        <v>341622199811021528</v>
      </c>
      <c r="G122" s="6" t="s">
        <v>24</v>
      </c>
      <c r="H122" s="6" t="s">
        <v>128</v>
      </c>
      <c r="I122" s="6" t="s">
        <v>17</v>
      </c>
      <c r="J122" s="6">
        <v>2016180615</v>
      </c>
      <c r="K122" s="4">
        <v>93.80000000000001</v>
      </c>
      <c r="L122" s="4">
        <v>81</v>
      </c>
      <c r="M122" s="4"/>
      <c r="N122" s="3">
        <f t="shared" si="3"/>
        <v>86.12</v>
      </c>
      <c r="O122" s="8">
        <v>90</v>
      </c>
    </row>
    <row r="123" spans="1:15" ht="16.5" customHeight="1">
      <c r="A123" s="7">
        <v>120</v>
      </c>
      <c r="B123" s="6" t="s">
        <v>14</v>
      </c>
      <c r="C123" s="6" t="str">
        <f>"1011201607231248035027"</f>
        <v>1011201607231248035027</v>
      </c>
      <c r="D123" s="6" t="s">
        <v>133</v>
      </c>
      <c r="E123" s="6" t="s">
        <v>15</v>
      </c>
      <c r="F123" s="6" t="str">
        <f>"341621199605141725"</f>
        <v>341621199605141725</v>
      </c>
      <c r="G123" s="6" t="s">
        <v>24</v>
      </c>
      <c r="H123" s="6" t="s">
        <v>30</v>
      </c>
      <c r="I123" s="6" t="s">
        <v>17</v>
      </c>
      <c r="J123" s="6">
        <v>2016181813</v>
      </c>
      <c r="K123" s="4">
        <v>90.7</v>
      </c>
      <c r="L123" s="4">
        <v>83</v>
      </c>
      <c r="M123" s="4"/>
      <c r="N123" s="3">
        <f t="shared" si="3"/>
        <v>86.08</v>
      </c>
      <c r="O123" s="8">
        <v>91</v>
      </c>
    </row>
    <row r="124" spans="1:15" ht="16.5" customHeight="1">
      <c r="A124" s="7">
        <v>121</v>
      </c>
      <c r="B124" s="6" t="s">
        <v>14</v>
      </c>
      <c r="C124" s="6" t="str">
        <f>"1011201607231124464952"</f>
        <v>1011201607231124464952</v>
      </c>
      <c r="D124" s="6" t="s">
        <v>154</v>
      </c>
      <c r="E124" s="6" t="s">
        <v>15</v>
      </c>
      <c r="F124" s="6" t="str">
        <f>"341227199305130422"</f>
        <v>341227199305130422</v>
      </c>
      <c r="G124" s="6" t="s">
        <v>16</v>
      </c>
      <c r="H124" s="6" t="s">
        <v>22</v>
      </c>
      <c r="I124" s="6" t="s">
        <v>17</v>
      </c>
      <c r="J124" s="6">
        <v>2016180826</v>
      </c>
      <c r="K124" s="4">
        <v>89.7</v>
      </c>
      <c r="L124" s="4">
        <v>83.6</v>
      </c>
      <c r="M124" s="4"/>
      <c r="N124" s="3">
        <f t="shared" si="3"/>
        <v>86.03999999999999</v>
      </c>
      <c r="O124" s="8">
        <v>92</v>
      </c>
    </row>
    <row r="125" spans="1:15" ht="16.5" customHeight="1">
      <c r="A125" s="7">
        <v>122</v>
      </c>
      <c r="B125" s="6" t="s">
        <v>14</v>
      </c>
      <c r="C125" s="6" t="str">
        <f>"1011201607231439455138"</f>
        <v>1011201607231439455138</v>
      </c>
      <c r="D125" s="6" t="s">
        <v>144</v>
      </c>
      <c r="E125" s="6" t="s">
        <v>15</v>
      </c>
      <c r="F125" s="6" t="str">
        <f>"341224199201057882"</f>
        <v>341224199201057882</v>
      </c>
      <c r="G125" s="6" t="s">
        <v>16</v>
      </c>
      <c r="H125" s="6" t="s">
        <v>27</v>
      </c>
      <c r="I125" s="6" t="s">
        <v>17</v>
      </c>
      <c r="J125" s="6">
        <v>2016183618</v>
      </c>
      <c r="K125" s="4">
        <v>82.7</v>
      </c>
      <c r="L125" s="4">
        <v>88.2</v>
      </c>
      <c r="M125" s="4"/>
      <c r="N125" s="3">
        <f t="shared" si="3"/>
        <v>86</v>
      </c>
      <c r="O125" s="8">
        <v>93</v>
      </c>
    </row>
    <row r="126" spans="1:15" ht="16.5" customHeight="1">
      <c r="A126" s="7">
        <v>123</v>
      </c>
      <c r="B126" s="6" t="s">
        <v>14</v>
      </c>
      <c r="C126" s="6" t="str">
        <f>"1011201607231903385338"</f>
        <v>1011201607231903385338</v>
      </c>
      <c r="D126" s="6" t="s">
        <v>161</v>
      </c>
      <c r="E126" s="6" t="s">
        <v>15</v>
      </c>
      <c r="F126" s="6" t="str">
        <f>"341225199107057225"</f>
        <v>341225199107057225</v>
      </c>
      <c r="G126" s="6" t="s">
        <v>16</v>
      </c>
      <c r="H126" s="6" t="s">
        <v>39</v>
      </c>
      <c r="I126" s="6" t="s">
        <v>162</v>
      </c>
      <c r="J126" s="6">
        <v>2016181218</v>
      </c>
      <c r="K126" s="4">
        <v>88</v>
      </c>
      <c r="L126" s="4">
        <v>84.4</v>
      </c>
      <c r="M126" s="4"/>
      <c r="N126" s="3">
        <f t="shared" si="3"/>
        <v>85.84</v>
      </c>
      <c r="O126" s="8">
        <v>94</v>
      </c>
    </row>
    <row r="127" spans="1:15" ht="16.5" customHeight="1">
      <c r="A127" s="7">
        <v>124</v>
      </c>
      <c r="B127" s="6" t="s">
        <v>14</v>
      </c>
      <c r="C127" s="6" t="str">
        <f>"1011201607251821236133"</f>
        <v>1011201607251821236133</v>
      </c>
      <c r="D127" s="6" t="s">
        <v>226</v>
      </c>
      <c r="E127" s="6" t="s">
        <v>15</v>
      </c>
      <c r="F127" s="6" t="str">
        <f>"341221199505054681"</f>
        <v>341221199505054681</v>
      </c>
      <c r="G127" s="6" t="s">
        <v>16</v>
      </c>
      <c r="H127" s="6" t="s">
        <v>23</v>
      </c>
      <c r="I127" s="6" t="s">
        <v>17</v>
      </c>
      <c r="J127" s="6">
        <v>2016181228</v>
      </c>
      <c r="K127" s="4">
        <v>94.6</v>
      </c>
      <c r="L127" s="4">
        <v>80</v>
      </c>
      <c r="M127" s="4"/>
      <c r="N127" s="3">
        <f aca="true" t="shared" si="4" ref="N127:N132">K127*0.4+L127*0.6</f>
        <v>85.84</v>
      </c>
      <c r="O127" s="8">
        <v>95</v>
      </c>
    </row>
    <row r="128" spans="1:15" ht="16.5" customHeight="1">
      <c r="A128" s="7">
        <v>125</v>
      </c>
      <c r="B128" s="6" t="s">
        <v>14</v>
      </c>
      <c r="C128" s="6" t="str">
        <f>"1011201607231945095369"</f>
        <v>1011201607231945095369</v>
      </c>
      <c r="D128" s="6" t="s">
        <v>164</v>
      </c>
      <c r="E128" s="6" t="s">
        <v>15</v>
      </c>
      <c r="F128" s="6" t="str">
        <f>"340621199502037385"</f>
        <v>340621199502037385</v>
      </c>
      <c r="G128" s="6" t="s">
        <v>16</v>
      </c>
      <c r="H128" s="6" t="s">
        <v>22</v>
      </c>
      <c r="I128" s="6" t="s">
        <v>17</v>
      </c>
      <c r="J128" s="6">
        <v>2016182316</v>
      </c>
      <c r="K128" s="4">
        <v>84.9</v>
      </c>
      <c r="L128" s="4">
        <v>86.4</v>
      </c>
      <c r="M128" s="4"/>
      <c r="N128" s="3">
        <f t="shared" si="4"/>
        <v>85.80000000000001</v>
      </c>
      <c r="O128" s="8">
        <v>96</v>
      </c>
    </row>
    <row r="129" spans="1:15" ht="16.5" customHeight="1">
      <c r="A129" s="7">
        <v>126</v>
      </c>
      <c r="B129" s="6" t="s">
        <v>14</v>
      </c>
      <c r="C129" s="6" t="str">
        <f>"1011201607251630236096"</f>
        <v>1011201607251630236096</v>
      </c>
      <c r="D129" s="6" t="s">
        <v>223</v>
      </c>
      <c r="E129" s="6" t="s">
        <v>15</v>
      </c>
      <c r="F129" s="6" t="str">
        <f>"341221199212103785"</f>
        <v>341221199212103785</v>
      </c>
      <c r="G129" s="6" t="s">
        <v>16</v>
      </c>
      <c r="H129" s="6" t="s">
        <v>20</v>
      </c>
      <c r="I129" s="6" t="s">
        <v>17</v>
      </c>
      <c r="J129" s="6">
        <v>2016180423</v>
      </c>
      <c r="K129" s="4">
        <v>97.4</v>
      </c>
      <c r="L129" s="4">
        <v>78</v>
      </c>
      <c r="M129" s="4"/>
      <c r="N129" s="3">
        <f t="shared" si="4"/>
        <v>85.76</v>
      </c>
      <c r="O129" s="8">
        <v>97</v>
      </c>
    </row>
    <row r="130" spans="1:15" ht="16.5" customHeight="1">
      <c r="A130" s="7">
        <v>127</v>
      </c>
      <c r="B130" s="6" t="s">
        <v>14</v>
      </c>
      <c r="C130" s="6" t="str">
        <f>"1011201607261103596290"</f>
        <v>1011201607261103596290</v>
      </c>
      <c r="D130" s="6" t="s">
        <v>233</v>
      </c>
      <c r="E130" s="6" t="s">
        <v>15</v>
      </c>
      <c r="F130" s="6" t="str">
        <f>"341222199403294365"</f>
        <v>341222199403294365</v>
      </c>
      <c r="G130" s="6" t="s">
        <v>16</v>
      </c>
      <c r="H130" s="6" t="s">
        <v>22</v>
      </c>
      <c r="I130" s="6" t="s">
        <v>17</v>
      </c>
      <c r="J130" s="6">
        <v>2016180521</v>
      </c>
      <c r="K130" s="4">
        <v>94.3</v>
      </c>
      <c r="L130" s="4">
        <v>80</v>
      </c>
      <c r="M130" s="4"/>
      <c r="N130" s="3">
        <f t="shared" si="4"/>
        <v>85.72</v>
      </c>
      <c r="O130" s="8">
        <v>98</v>
      </c>
    </row>
    <row r="131" spans="1:15" ht="16.5" customHeight="1">
      <c r="A131" s="7">
        <v>128</v>
      </c>
      <c r="B131" s="6" t="s">
        <v>14</v>
      </c>
      <c r="C131" s="6" t="str">
        <f>"1011201607252214176206"</f>
        <v>1011201607252214176206</v>
      </c>
      <c r="D131" s="6" t="s">
        <v>228</v>
      </c>
      <c r="E131" s="6" t="s">
        <v>15</v>
      </c>
      <c r="F131" s="6" t="str">
        <f>"341227199410012022"</f>
        <v>341227199410012022</v>
      </c>
      <c r="G131" s="6" t="s">
        <v>16</v>
      </c>
      <c r="H131" s="6" t="s">
        <v>18</v>
      </c>
      <c r="I131" s="6" t="s">
        <v>17</v>
      </c>
      <c r="J131" s="6">
        <v>2016183515</v>
      </c>
      <c r="K131" s="4">
        <v>86.2</v>
      </c>
      <c r="L131" s="4">
        <v>85.4</v>
      </c>
      <c r="M131" s="4"/>
      <c r="N131" s="3">
        <f t="shared" si="4"/>
        <v>85.72</v>
      </c>
      <c r="O131" s="8">
        <v>99</v>
      </c>
    </row>
    <row r="132" spans="1:15" ht="16.5" customHeight="1">
      <c r="A132" s="7">
        <v>129</v>
      </c>
      <c r="B132" s="6" t="s">
        <v>14</v>
      </c>
      <c r="C132" s="6" t="str">
        <f>"1011201607231438575136"</f>
        <v>1011201607231438575136</v>
      </c>
      <c r="D132" s="6" t="s">
        <v>186</v>
      </c>
      <c r="E132" s="6" t="s">
        <v>15</v>
      </c>
      <c r="F132" s="6" t="str">
        <f>"341227199011075325"</f>
        <v>341227199011075325</v>
      </c>
      <c r="G132" s="6" t="s">
        <v>11</v>
      </c>
      <c r="H132" s="6" t="s">
        <v>187</v>
      </c>
      <c r="I132" s="6" t="s">
        <v>48</v>
      </c>
      <c r="J132" s="6">
        <v>2016180907</v>
      </c>
      <c r="K132" s="4">
        <v>85.4</v>
      </c>
      <c r="L132" s="4">
        <v>85.8</v>
      </c>
      <c r="M132" s="4"/>
      <c r="N132" s="3">
        <f t="shared" si="4"/>
        <v>85.64</v>
      </c>
      <c r="O132" s="8">
        <v>100</v>
      </c>
    </row>
  </sheetData>
  <sheetProtection/>
  <mergeCells count="1">
    <mergeCell ref="A1:O1"/>
  </mergeCells>
  <printOptions/>
  <pageMargins left="0.5118110236220472" right="0.5118110236220472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 Jiang</dc:creator>
  <cp:keywords/>
  <dc:description/>
  <cp:lastModifiedBy>MC SYSTEM</cp:lastModifiedBy>
  <cp:lastPrinted>2016-08-19T09:36:47Z</cp:lastPrinted>
  <dcterms:created xsi:type="dcterms:W3CDTF">2016-07-31T08:47:29Z</dcterms:created>
  <dcterms:modified xsi:type="dcterms:W3CDTF">2016-08-19T09:38:18Z</dcterms:modified>
  <cp:category/>
  <cp:version/>
  <cp:contentType/>
  <cp:contentStatus/>
</cp:coreProperties>
</file>